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5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6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7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8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9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10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1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13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omments1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D:\Particular\BLOG\"/>
    </mc:Choice>
  </mc:AlternateContent>
  <xr:revisionPtr revIDLastSave="0" documentId="13_ncr:1_{B0667CF5-50E6-4493-8A45-1DC948E3C2D4}" xr6:coauthVersionLast="47" xr6:coauthVersionMax="47" xr10:uidLastSave="{00000000-0000-0000-0000-000000000000}"/>
  <workbookProtection lockStructure="1"/>
  <bookViews>
    <workbookView xWindow="-108" yWindow="-108" windowWidth="23256" windowHeight="12456" tabRatio="955" xr2:uid="{00000000-000D-0000-FFFF-FFFF00000000}"/>
  </bookViews>
  <sheets>
    <sheet name="Instruções" sheetId="1" r:id="rId1"/>
    <sheet name="Jan" sheetId="3" r:id="rId2"/>
    <sheet name="Fev" sheetId="17" r:id="rId3"/>
    <sheet name="Mar" sheetId="18" r:id="rId4"/>
    <sheet name="Abr" sheetId="5" r:id="rId5"/>
    <sheet name="Mai" sheetId="6" r:id="rId6"/>
    <sheet name="Jun" sheetId="7" r:id="rId7"/>
    <sheet name="Jul" sheetId="8" r:id="rId8"/>
    <sheet name="Ago" sheetId="9" r:id="rId9"/>
    <sheet name="Set" sheetId="10" r:id="rId10"/>
    <sheet name="Out" sheetId="11" r:id="rId11"/>
    <sheet name="Nov" sheetId="12" r:id="rId12"/>
    <sheet name="Dez" sheetId="13" r:id="rId13"/>
    <sheet name="Real" sheetId="2" r:id="rId14"/>
    <sheet name="Previsão" sheetId="15" r:id="rId15"/>
    <sheet name="Real x Previsto" sheetId="16" r:id="rId16"/>
    <sheet name="C.Crédito" sheetId="23" r:id="rId17"/>
    <sheet name="Aplicações" sheetId="24" r:id="rId18"/>
    <sheet name="Gráfico " sheetId="25" r:id="rId19"/>
    <sheet name="Codigo" sheetId="22" state="hidden" r:id="rId20"/>
  </sheets>
  <definedNames>
    <definedName name="_xlnm._FilterDatabase" localSheetId="2" hidden="1">Fev!$B$3:$H$60</definedName>
    <definedName name="_xlnm._FilterDatabase" localSheetId="1" hidden="1">Jan!$H$4:$L$76</definedName>
    <definedName name="A4_">Jan!$D$6</definedName>
    <definedName name="Alimentação" localSheetId="13">Real!#REF!</definedName>
    <definedName name="_xlnm.Print_Area" localSheetId="4">Abr!$A$1:$H$76,Abr!$J$1:$L$76</definedName>
    <definedName name="_xlnm.Print_Area" localSheetId="8">Ago!$A$1:$H$76,Ago!$J$1:$L$76</definedName>
    <definedName name="_xlnm.Print_Area" localSheetId="17">Aplicações!$A$1:$Q$47</definedName>
    <definedName name="_xlnm.Print_Area" localSheetId="16">'C.Crédito'!$A$1:$V$45</definedName>
    <definedName name="_xlnm.Print_Area" localSheetId="12">Dez!$A$1:$H$76,Dez!$J$1:$L$76</definedName>
    <definedName name="_xlnm.Print_Area" localSheetId="2">Fev!$A$1:$H$76,Fev!$J$1:$L$76</definedName>
    <definedName name="_xlnm.Print_Area" localSheetId="1">Jan!$B$1:$H$76,Jan!$J$1:$L$76</definedName>
    <definedName name="_xlnm.Print_Area" localSheetId="7">Jul!$A$1:$H$76,Jul!$J$1:$L$76</definedName>
    <definedName name="_xlnm.Print_Area" localSheetId="6">Jun!$A$1:$L$76</definedName>
    <definedName name="_xlnm.Print_Area" localSheetId="5">Mai!$A$1:$H$76,Mai!$J$1:$L$76</definedName>
    <definedName name="_xlnm.Print_Area" localSheetId="3">Mar!$A$1:$H$76,Mar!$J$1:$L$76</definedName>
    <definedName name="_xlnm.Print_Area" localSheetId="11">Nov!$A$1:$H$76,Nov!$J$1:$L$76</definedName>
    <definedName name="_xlnm.Print_Area" localSheetId="10">Out!$A$1:$H$76,Out!$J$1:$L$76</definedName>
    <definedName name="_xlnm.Print_Area" localSheetId="13">Real!$A$1:$P$82,Real!$A$84:$P$111</definedName>
    <definedName name="_xlnm.Print_Area" localSheetId="15">'Real x Previsto'!$A$1:$I$17,'Real x Previsto'!$A$19:$I$33,'Real x Previsto'!$A$35:$I$49,'Real x Previsto'!$A$51:$I$65,'Real x Previsto'!$A$67:$I$81,'Real x Previsto'!$A$83:$I$97,'Real x Previsto'!$A$99:$I$113,'Real x Previsto'!$A$115:$I$129,'Real x Previsto'!$A$131:$I$145,'Real x Previsto'!$A$147:$I$161,'Real x Previsto'!$A$163:$I$177,'Real x Previsto'!$A$179:$J$194</definedName>
    <definedName name="_xlnm.Print_Area" localSheetId="9">Set!$A$1:$H$76,Set!$J$1:$L$76</definedName>
    <definedName name="FeiraSacolão" localSheetId="13">Real!#REF!</definedName>
    <definedName name="Janeiro">Real!$A$2:$O$77</definedName>
    <definedName name="Moradia" localSheetId="13">Real!#REF!</definedName>
    <definedName name="Outroscafés" localSheetId="13">Real!#REF!</definedName>
    <definedName name="Padaria" localSheetId="13">Real!#REF!</definedName>
    <definedName name="Refeiçãoforadecasa" localSheetId="13">Real!#REF!</definedName>
    <definedName name="Supermercado" localSheetId="13">Real!#REF!</definedName>
    <definedName name="Supermercado">Jan!$D$6</definedName>
  </definedNames>
  <calcPr calcId="191029"/>
</workbook>
</file>

<file path=xl/calcChain.xml><?xml version="1.0" encoding="utf-8"?>
<calcChain xmlns="http://schemas.openxmlformats.org/spreadsheetml/2006/main">
  <c r="N106" i="2" l="1"/>
  <c r="M106" i="2"/>
  <c r="L106" i="2"/>
  <c r="K106" i="2"/>
  <c r="J106" i="2"/>
  <c r="I106" i="2"/>
  <c r="H106" i="2"/>
  <c r="G106" i="2"/>
  <c r="F106" i="2"/>
  <c r="E106" i="2"/>
  <c r="D106" i="2"/>
  <c r="C106" i="2"/>
  <c r="J6" i="17"/>
  <c r="K6" i="17"/>
  <c r="L6" i="17"/>
  <c r="J7" i="17"/>
  <c r="K7" i="17"/>
  <c r="L7" i="17"/>
  <c r="J8" i="17"/>
  <c r="K8" i="17"/>
  <c r="L8" i="17"/>
  <c r="J9" i="17"/>
  <c r="K9" i="17"/>
  <c r="L9" i="17"/>
  <c r="J10" i="17"/>
  <c r="K10" i="17"/>
  <c r="L10" i="17"/>
  <c r="J11" i="17"/>
  <c r="K11" i="17"/>
  <c r="L11" i="17"/>
  <c r="J12" i="17"/>
  <c r="K12" i="17"/>
  <c r="L12" i="17"/>
  <c r="J13" i="17"/>
  <c r="K13" i="17"/>
  <c r="L13" i="17"/>
  <c r="J14" i="17"/>
  <c r="K14" i="17"/>
  <c r="L14" i="17"/>
  <c r="J15" i="17"/>
  <c r="K15" i="17"/>
  <c r="L15" i="17"/>
  <c r="J16" i="17"/>
  <c r="K16" i="17"/>
  <c r="L16" i="17"/>
  <c r="J17" i="17"/>
  <c r="K17" i="17"/>
  <c r="L17" i="17"/>
  <c r="J18" i="17"/>
  <c r="K18" i="17"/>
  <c r="L18" i="17"/>
  <c r="J19" i="17"/>
  <c r="K19" i="17"/>
  <c r="L19" i="17"/>
  <c r="J20" i="17"/>
  <c r="K20" i="17"/>
  <c r="L20" i="17"/>
  <c r="J21" i="17"/>
  <c r="K21" i="17"/>
  <c r="L21" i="17"/>
  <c r="J22" i="17"/>
  <c r="K22" i="17"/>
  <c r="L22" i="17"/>
  <c r="J23" i="17"/>
  <c r="K23" i="17"/>
  <c r="L23" i="17"/>
  <c r="J24" i="17"/>
  <c r="K24" i="17"/>
  <c r="L24" i="17"/>
  <c r="J25" i="17"/>
  <c r="K25" i="17"/>
  <c r="L25" i="17"/>
  <c r="J26" i="17"/>
  <c r="K26" i="17"/>
  <c r="L26" i="17"/>
  <c r="J27" i="17"/>
  <c r="K27" i="17"/>
  <c r="L27" i="17"/>
  <c r="J28" i="17"/>
  <c r="K28" i="17"/>
  <c r="L28" i="17"/>
  <c r="J29" i="17"/>
  <c r="K29" i="17"/>
  <c r="L29" i="17"/>
  <c r="J30" i="17"/>
  <c r="K30" i="17"/>
  <c r="L30" i="17"/>
  <c r="J31" i="17"/>
  <c r="K31" i="17"/>
  <c r="L31" i="17"/>
  <c r="J32" i="17"/>
  <c r="K32" i="17"/>
  <c r="L32" i="17"/>
  <c r="J33" i="17"/>
  <c r="K33" i="17"/>
  <c r="L33" i="17"/>
  <c r="J34" i="17"/>
  <c r="K34" i="17"/>
  <c r="L34" i="17"/>
  <c r="J35" i="17"/>
  <c r="K35" i="17"/>
  <c r="L35" i="17"/>
  <c r="J36" i="17"/>
  <c r="K36" i="17"/>
  <c r="L36" i="17"/>
  <c r="J37" i="17"/>
  <c r="K37" i="17"/>
  <c r="L37" i="17"/>
  <c r="J38" i="17"/>
  <c r="K38" i="17"/>
  <c r="L38" i="17"/>
  <c r="J39" i="17"/>
  <c r="K39" i="17"/>
  <c r="L39" i="17"/>
  <c r="J40" i="17"/>
  <c r="K40" i="17"/>
  <c r="L40" i="17"/>
  <c r="J41" i="17"/>
  <c r="K41" i="17"/>
  <c r="L41" i="17"/>
  <c r="J42" i="17"/>
  <c r="K42" i="17"/>
  <c r="L42" i="17"/>
  <c r="J43" i="17"/>
  <c r="K43" i="17"/>
  <c r="L43" i="17"/>
  <c r="J44" i="17"/>
  <c r="K44" i="17"/>
  <c r="L44" i="17"/>
  <c r="J45" i="17"/>
  <c r="K45" i="17"/>
  <c r="L45" i="17"/>
  <c r="J46" i="17"/>
  <c r="K46" i="17"/>
  <c r="L46" i="17"/>
  <c r="J47" i="17"/>
  <c r="K47" i="17"/>
  <c r="L47" i="17"/>
  <c r="J48" i="17"/>
  <c r="K48" i="17"/>
  <c r="L48" i="17"/>
  <c r="J49" i="17"/>
  <c r="K49" i="17"/>
  <c r="L49" i="17"/>
  <c r="J50" i="17"/>
  <c r="K50" i="17"/>
  <c r="L50" i="17"/>
  <c r="J51" i="17"/>
  <c r="K51" i="17"/>
  <c r="L51" i="17"/>
  <c r="J52" i="17"/>
  <c r="K52" i="17"/>
  <c r="L52" i="17"/>
  <c r="J53" i="17"/>
  <c r="K53" i="17"/>
  <c r="L53" i="17"/>
  <c r="J54" i="17"/>
  <c r="K54" i="17"/>
  <c r="L54" i="17"/>
  <c r="J55" i="17"/>
  <c r="K55" i="17"/>
  <c r="L55" i="17"/>
  <c r="J56" i="17"/>
  <c r="K56" i="17"/>
  <c r="L56" i="17"/>
  <c r="J57" i="17"/>
  <c r="K57" i="17"/>
  <c r="L57" i="17"/>
  <c r="J58" i="17"/>
  <c r="K58" i="17"/>
  <c r="L58" i="17"/>
  <c r="J59" i="17"/>
  <c r="K59" i="17"/>
  <c r="L59" i="17"/>
  <c r="J60" i="17"/>
  <c r="K60" i="17"/>
  <c r="L60" i="17"/>
  <c r="J61" i="17"/>
  <c r="K61" i="17"/>
  <c r="L61" i="17"/>
  <c r="J62" i="17"/>
  <c r="K62" i="17"/>
  <c r="L62" i="17"/>
  <c r="J63" i="17"/>
  <c r="K63" i="17"/>
  <c r="L63" i="17"/>
  <c r="J64" i="17"/>
  <c r="K64" i="17"/>
  <c r="L64" i="17"/>
  <c r="J65" i="17"/>
  <c r="K65" i="17"/>
  <c r="L65" i="17"/>
  <c r="J66" i="17"/>
  <c r="K66" i="17"/>
  <c r="L66" i="17"/>
  <c r="J67" i="17"/>
  <c r="K67" i="17"/>
  <c r="L67" i="17"/>
  <c r="J68" i="17"/>
  <c r="K68" i="17"/>
  <c r="L68" i="17"/>
  <c r="J69" i="17"/>
  <c r="K69" i="17"/>
  <c r="L69" i="17"/>
  <c r="J70" i="17"/>
  <c r="K70" i="17"/>
  <c r="L70" i="17"/>
  <c r="J71" i="17"/>
  <c r="K71" i="17"/>
  <c r="L71" i="17"/>
  <c r="J72" i="17"/>
  <c r="K72" i="17"/>
  <c r="L72" i="17"/>
  <c r="J73" i="17"/>
  <c r="K73" i="17"/>
  <c r="L73" i="17"/>
  <c r="J74" i="17"/>
  <c r="K74" i="17"/>
  <c r="L74" i="17"/>
  <c r="J75" i="17"/>
  <c r="J76" i="17"/>
  <c r="K75" i="17"/>
  <c r="K76" i="17" s="1"/>
  <c r="L75" i="17"/>
  <c r="L76" i="17" s="1"/>
  <c r="D10" i="15"/>
  <c r="E10" i="15"/>
  <c r="F10" i="15"/>
  <c r="G10" i="15"/>
  <c r="H10" i="15"/>
  <c r="I10" i="15"/>
  <c r="J10" i="15"/>
  <c r="K10" i="15"/>
  <c r="L10" i="15"/>
  <c r="M10" i="15"/>
  <c r="N10" i="15"/>
  <c r="D13" i="15"/>
  <c r="E13" i="15"/>
  <c r="F13" i="15"/>
  <c r="G13" i="15"/>
  <c r="H13" i="15"/>
  <c r="I13" i="15"/>
  <c r="J13" i="15"/>
  <c r="K13" i="15"/>
  <c r="L13" i="15"/>
  <c r="L89" i="15" s="1"/>
  <c r="D152" i="16" s="1"/>
  <c r="M13" i="15"/>
  <c r="N13" i="15"/>
  <c r="D19" i="15"/>
  <c r="E19" i="15"/>
  <c r="F19" i="15"/>
  <c r="G19" i="15"/>
  <c r="H19" i="15"/>
  <c r="I19" i="15"/>
  <c r="I90" i="15" s="1"/>
  <c r="D105" i="16" s="1"/>
  <c r="J19" i="15"/>
  <c r="K19" i="15"/>
  <c r="L19" i="15"/>
  <c r="M19" i="15"/>
  <c r="N19" i="15"/>
  <c r="D32" i="15"/>
  <c r="E32" i="15"/>
  <c r="F32" i="15"/>
  <c r="F91" i="15" s="1"/>
  <c r="D58" i="16" s="1"/>
  <c r="G32" i="15"/>
  <c r="H32" i="15"/>
  <c r="I32" i="15"/>
  <c r="J32" i="15"/>
  <c r="K32" i="15"/>
  <c r="L32" i="15"/>
  <c r="M32" i="15"/>
  <c r="N32" i="15"/>
  <c r="D37" i="15"/>
  <c r="E37" i="15"/>
  <c r="F37" i="15"/>
  <c r="G37" i="15"/>
  <c r="H37" i="15"/>
  <c r="I37" i="15"/>
  <c r="J37" i="15"/>
  <c r="K37" i="15"/>
  <c r="L37" i="15"/>
  <c r="M37" i="15"/>
  <c r="N37" i="15"/>
  <c r="D42" i="15"/>
  <c r="E42" i="15"/>
  <c r="F42" i="15"/>
  <c r="G42" i="15"/>
  <c r="H42" i="15"/>
  <c r="H93" i="15" s="1"/>
  <c r="I42" i="15"/>
  <c r="J42" i="15"/>
  <c r="K42" i="15"/>
  <c r="L42" i="15"/>
  <c r="L93" i="15" s="1"/>
  <c r="D156" i="16" s="1"/>
  <c r="M42" i="15"/>
  <c r="N42" i="15"/>
  <c r="D49" i="15"/>
  <c r="E49" i="15"/>
  <c r="E94" i="15" s="1"/>
  <c r="D45" i="16" s="1"/>
  <c r="F49" i="15"/>
  <c r="G49" i="15"/>
  <c r="H49" i="15"/>
  <c r="I49" i="15"/>
  <c r="J49" i="15"/>
  <c r="K49" i="15"/>
  <c r="L49" i="15"/>
  <c r="M49" i="15"/>
  <c r="N49" i="15"/>
  <c r="D59" i="15"/>
  <c r="E59" i="15"/>
  <c r="F59" i="15"/>
  <c r="G59" i="15"/>
  <c r="H59" i="15"/>
  <c r="I59" i="15"/>
  <c r="J59" i="15"/>
  <c r="K59" i="15"/>
  <c r="L59" i="15"/>
  <c r="M59" i="15"/>
  <c r="N59" i="15"/>
  <c r="N95" i="15" s="1"/>
  <c r="D190" i="16" s="1"/>
  <c r="D64" i="15"/>
  <c r="E64" i="15"/>
  <c r="F64" i="15"/>
  <c r="G64" i="15"/>
  <c r="G96" i="15" s="1"/>
  <c r="D79" i="16" s="1"/>
  <c r="H64" i="15"/>
  <c r="I64" i="15"/>
  <c r="J64" i="15"/>
  <c r="K64" i="15"/>
  <c r="L64" i="15"/>
  <c r="M64" i="15"/>
  <c r="N64" i="15"/>
  <c r="D70" i="15"/>
  <c r="D97" i="15" s="1"/>
  <c r="D32" i="16" s="1"/>
  <c r="E70" i="15"/>
  <c r="F70" i="15"/>
  <c r="G70" i="15"/>
  <c r="H70" i="15"/>
  <c r="H97" i="15" s="1"/>
  <c r="D96" i="16" s="1"/>
  <c r="I70" i="15"/>
  <c r="J70" i="15"/>
  <c r="K70" i="15"/>
  <c r="L70" i="15"/>
  <c r="L97" i="15" s="1"/>
  <c r="D160" i="16" s="1"/>
  <c r="M70" i="15"/>
  <c r="N70" i="15"/>
  <c r="B6" i="12"/>
  <c r="C6" i="12"/>
  <c r="B7" i="12"/>
  <c r="C7" i="12"/>
  <c r="B8" i="12"/>
  <c r="C8" i="12"/>
  <c r="B9" i="12"/>
  <c r="C9" i="12"/>
  <c r="B10" i="12"/>
  <c r="C10" i="12"/>
  <c r="B11" i="12"/>
  <c r="C11" i="12"/>
  <c r="B12" i="12"/>
  <c r="C12" i="12"/>
  <c r="B13" i="12"/>
  <c r="C13" i="12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C42" i="12"/>
  <c r="B43" i="12"/>
  <c r="C43" i="12"/>
  <c r="B44" i="12"/>
  <c r="C44" i="12"/>
  <c r="B45" i="12"/>
  <c r="C45" i="12"/>
  <c r="B46" i="12"/>
  <c r="C46" i="12"/>
  <c r="B47" i="12"/>
  <c r="C47" i="12"/>
  <c r="B48" i="12"/>
  <c r="C48" i="12"/>
  <c r="B49" i="12"/>
  <c r="C49" i="12"/>
  <c r="B50" i="12"/>
  <c r="C50" i="12"/>
  <c r="B51" i="12"/>
  <c r="C51" i="12"/>
  <c r="B52" i="12"/>
  <c r="C52" i="12"/>
  <c r="B53" i="12"/>
  <c r="C53" i="12"/>
  <c r="B54" i="12"/>
  <c r="C54" i="12"/>
  <c r="B55" i="12"/>
  <c r="C55" i="12"/>
  <c r="B56" i="12"/>
  <c r="C56" i="12"/>
  <c r="B57" i="12"/>
  <c r="C57" i="12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B65" i="12"/>
  <c r="C65" i="12"/>
  <c r="B66" i="12"/>
  <c r="C66" i="12"/>
  <c r="B67" i="12"/>
  <c r="C67" i="12"/>
  <c r="B68" i="12"/>
  <c r="C68" i="12"/>
  <c r="B69" i="12"/>
  <c r="C69" i="12"/>
  <c r="B70" i="12"/>
  <c r="C70" i="12"/>
  <c r="B71" i="12"/>
  <c r="C71" i="12"/>
  <c r="O31" i="15"/>
  <c r="O30" i="15"/>
  <c r="O29" i="15"/>
  <c r="N31" i="2"/>
  <c r="N30" i="2"/>
  <c r="N29" i="2"/>
  <c r="M31" i="2"/>
  <c r="M30" i="2"/>
  <c r="M29" i="2"/>
  <c r="L31" i="2"/>
  <c r="L30" i="2"/>
  <c r="L29" i="2"/>
  <c r="K31" i="2"/>
  <c r="K30" i="2"/>
  <c r="K29" i="2"/>
  <c r="J31" i="2"/>
  <c r="J30" i="2"/>
  <c r="J29" i="2"/>
  <c r="I31" i="2"/>
  <c r="I30" i="2"/>
  <c r="I29" i="2"/>
  <c r="H31" i="2"/>
  <c r="H30" i="2"/>
  <c r="H29" i="2"/>
  <c r="G31" i="2"/>
  <c r="G30" i="2"/>
  <c r="G29" i="2"/>
  <c r="F31" i="2"/>
  <c r="F30" i="2"/>
  <c r="F29" i="2"/>
  <c r="E31" i="2"/>
  <c r="E30" i="2"/>
  <c r="E29" i="2"/>
  <c r="D31" i="2"/>
  <c r="D30" i="2"/>
  <c r="D29" i="2"/>
  <c r="C31" i="2"/>
  <c r="C30" i="2"/>
  <c r="C29" i="2"/>
  <c r="B70" i="2"/>
  <c r="B97" i="2" s="1"/>
  <c r="B64" i="2"/>
  <c r="B96" i="2" s="1"/>
  <c r="B59" i="2"/>
  <c r="B95" i="2" s="1"/>
  <c r="B49" i="2"/>
  <c r="B94" i="2" s="1"/>
  <c r="B42" i="2"/>
  <c r="B93" i="2" s="1"/>
  <c r="B37" i="2"/>
  <c r="B92" i="2" s="1"/>
  <c r="B34" i="2"/>
  <c r="B35" i="2"/>
  <c r="B36" i="2"/>
  <c r="B32" i="2"/>
  <c r="B91" i="2" s="1"/>
  <c r="B29" i="2"/>
  <c r="B30" i="2"/>
  <c r="B31" i="2"/>
  <c r="B19" i="2"/>
  <c r="B90" i="2" s="1"/>
  <c r="B13" i="2"/>
  <c r="B89" i="2" s="1"/>
  <c r="B12" i="2"/>
  <c r="B3" i="2"/>
  <c r="B86" i="2" s="1"/>
  <c r="C19" i="15"/>
  <c r="B5" i="15"/>
  <c r="B6" i="15"/>
  <c r="B7" i="15"/>
  <c r="B8" i="15"/>
  <c r="B9" i="15"/>
  <c r="B4" i="15"/>
  <c r="B77" i="15"/>
  <c r="B76" i="15"/>
  <c r="B72" i="15"/>
  <c r="B73" i="15"/>
  <c r="B74" i="15"/>
  <c r="B75" i="15"/>
  <c r="B71" i="15"/>
  <c r="B70" i="15"/>
  <c r="B97" i="15" s="1"/>
  <c r="B66" i="15"/>
  <c r="B67" i="15"/>
  <c r="B68" i="15"/>
  <c r="B69" i="15"/>
  <c r="B65" i="15"/>
  <c r="B64" i="15"/>
  <c r="B96" i="15" s="1"/>
  <c r="B61" i="15"/>
  <c r="B62" i="15"/>
  <c r="B63" i="15"/>
  <c r="B60" i="15"/>
  <c r="B59" i="15"/>
  <c r="B95" i="15" s="1"/>
  <c r="B51" i="15"/>
  <c r="B52" i="15"/>
  <c r="B53" i="15"/>
  <c r="B54" i="15"/>
  <c r="B55" i="15"/>
  <c r="B56" i="15"/>
  <c r="B57" i="15"/>
  <c r="B58" i="15"/>
  <c r="B50" i="15"/>
  <c r="B49" i="15"/>
  <c r="B94" i="15" s="1"/>
  <c r="B44" i="15"/>
  <c r="B45" i="15"/>
  <c r="B46" i="15"/>
  <c r="B47" i="15"/>
  <c r="B48" i="15"/>
  <c r="B43" i="15"/>
  <c r="B42" i="15"/>
  <c r="B93" i="15" s="1"/>
  <c r="B39" i="15"/>
  <c r="B40" i="15"/>
  <c r="B41" i="15"/>
  <c r="B37" i="15"/>
  <c r="B92" i="15" s="1"/>
  <c r="B38" i="15"/>
  <c r="B34" i="15"/>
  <c r="B35" i="15"/>
  <c r="B36" i="15"/>
  <c r="B33" i="15"/>
  <c r="B21" i="15"/>
  <c r="B22" i="15"/>
  <c r="B23" i="15"/>
  <c r="B24" i="15"/>
  <c r="B25" i="15"/>
  <c r="B26" i="15"/>
  <c r="B27" i="15"/>
  <c r="B28" i="15"/>
  <c r="B29" i="15"/>
  <c r="B30" i="15"/>
  <c r="B31" i="15"/>
  <c r="B20" i="15"/>
  <c r="B15" i="15"/>
  <c r="B16" i="15"/>
  <c r="B17" i="15"/>
  <c r="B18" i="15"/>
  <c r="B14" i="15"/>
  <c r="B32" i="15"/>
  <c r="B91" i="15" s="1"/>
  <c r="B19" i="15"/>
  <c r="B90" i="15" s="1"/>
  <c r="B13" i="15"/>
  <c r="B89" i="15" s="1"/>
  <c r="B3" i="15"/>
  <c r="B86" i="15" s="1"/>
  <c r="B192" i="16"/>
  <c r="B191" i="16"/>
  <c r="B190" i="16"/>
  <c r="B189" i="16"/>
  <c r="B188" i="16"/>
  <c r="B187" i="16"/>
  <c r="B186" i="16"/>
  <c r="B185" i="16"/>
  <c r="B184" i="16"/>
  <c r="B181" i="16"/>
  <c r="B176" i="16"/>
  <c r="B175" i="16"/>
  <c r="B174" i="16"/>
  <c r="B173" i="16"/>
  <c r="B172" i="16"/>
  <c r="B171" i="16"/>
  <c r="B170" i="16"/>
  <c r="B169" i="16"/>
  <c r="B168" i="16"/>
  <c r="B165" i="16"/>
  <c r="B160" i="16"/>
  <c r="B159" i="16"/>
  <c r="B158" i="16"/>
  <c r="B157" i="16"/>
  <c r="B156" i="16"/>
  <c r="B155" i="16"/>
  <c r="B154" i="16"/>
  <c r="B153" i="16"/>
  <c r="B152" i="16"/>
  <c r="B149" i="16"/>
  <c r="B144" i="16"/>
  <c r="B143" i="16"/>
  <c r="B142" i="16"/>
  <c r="B141" i="16"/>
  <c r="B140" i="16"/>
  <c r="B139" i="16"/>
  <c r="B138" i="16"/>
  <c r="B137" i="16"/>
  <c r="B136" i="16"/>
  <c r="B133" i="16"/>
  <c r="B128" i="16"/>
  <c r="B127" i="16"/>
  <c r="B126" i="16"/>
  <c r="B125" i="16"/>
  <c r="B124" i="16"/>
  <c r="B123" i="16"/>
  <c r="B122" i="16"/>
  <c r="B121" i="16"/>
  <c r="B120" i="16"/>
  <c r="B117" i="16"/>
  <c r="B112" i="16"/>
  <c r="B111" i="16"/>
  <c r="B110" i="16"/>
  <c r="B109" i="16"/>
  <c r="B108" i="16"/>
  <c r="B107" i="16"/>
  <c r="B106" i="16"/>
  <c r="B105" i="16"/>
  <c r="B104" i="16"/>
  <c r="B101" i="16"/>
  <c r="B96" i="16"/>
  <c r="B95" i="16"/>
  <c r="B94" i="16"/>
  <c r="B93" i="16"/>
  <c r="B92" i="16"/>
  <c r="B91" i="16"/>
  <c r="B90" i="16"/>
  <c r="B89" i="16"/>
  <c r="B88" i="16"/>
  <c r="B85" i="16"/>
  <c r="B80" i="16"/>
  <c r="B79" i="16"/>
  <c r="B78" i="16"/>
  <c r="B77" i="16"/>
  <c r="B76" i="16"/>
  <c r="B75" i="16"/>
  <c r="B74" i="16"/>
  <c r="B73" i="16"/>
  <c r="B72" i="16"/>
  <c r="B69" i="16"/>
  <c r="B64" i="16"/>
  <c r="B63" i="16"/>
  <c r="B62" i="16"/>
  <c r="B61" i="16"/>
  <c r="B60" i="16"/>
  <c r="B59" i="16"/>
  <c r="B58" i="16"/>
  <c r="B57" i="16"/>
  <c r="B56" i="16"/>
  <c r="B53" i="16"/>
  <c r="B48" i="16"/>
  <c r="B47" i="16"/>
  <c r="B46" i="16"/>
  <c r="B45" i="16"/>
  <c r="B44" i="16"/>
  <c r="B43" i="16"/>
  <c r="B42" i="16"/>
  <c r="B41" i="16"/>
  <c r="B40" i="16"/>
  <c r="B37" i="16"/>
  <c r="B32" i="16"/>
  <c r="B31" i="16"/>
  <c r="B30" i="16"/>
  <c r="B29" i="16"/>
  <c r="B28" i="16"/>
  <c r="B27" i="16"/>
  <c r="B26" i="16"/>
  <c r="B25" i="16"/>
  <c r="B24" i="16"/>
  <c r="B21" i="16"/>
  <c r="B16" i="16"/>
  <c r="B15" i="16"/>
  <c r="B14" i="16"/>
  <c r="B13" i="16"/>
  <c r="B12" i="16"/>
  <c r="B11" i="16"/>
  <c r="B10" i="16"/>
  <c r="B9" i="16"/>
  <c r="B8" i="16"/>
  <c r="B5" i="16"/>
  <c r="G45" i="23"/>
  <c r="V7" i="23"/>
  <c r="I7" i="23"/>
  <c r="B7" i="23"/>
  <c r="I6" i="23"/>
  <c r="J45" i="23"/>
  <c r="K45" i="23"/>
  <c r="L45" i="23"/>
  <c r="M45" i="23"/>
  <c r="N45" i="23"/>
  <c r="O45" i="23"/>
  <c r="P45" i="23"/>
  <c r="Q45" i="23"/>
  <c r="R45" i="23"/>
  <c r="S45" i="23"/>
  <c r="T45" i="23"/>
  <c r="U45" i="23"/>
  <c r="I10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B31" i="23"/>
  <c r="B30" i="23"/>
  <c r="B29" i="23"/>
  <c r="B28" i="23"/>
  <c r="B27" i="23"/>
  <c r="B26" i="23"/>
  <c r="B25" i="23"/>
  <c r="B24" i="23"/>
  <c r="B23" i="23"/>
  <c r="B22" i="23"/>
  <c r="B21" i="23"/>
  <c r="B20" i="23"/>
  <c r="B19" i="23"/>
  <c r="B18" i="23"/>
  <c r="B17" i="23"/>
  <c r="B16" i="23"/>
  <c r="B15" i="23"/>
  <c r="B14" i="23"/>
  <c r="B13" i="23"/>
  <c r="B12" i="23"/>
  <c r="B11" i="23"/>
  <c r="B10" i="23"/>
  <c r="B9" i="23"/>
  <c r="B8" i="23"/>
  <c r="B6" i="23"/>
  <c r="Q25" i="24"/>
  <c r="Q18" i="24"/>
  <c r="Q11" i="24"/>
  <c r="Q24" i="24"/>
  <c r="Q17" i="24"/>
  <c r="Q23" i="24"/>
  <c r="Q16" i="24"/>
  <c r="Q10" i="24"/>
  <c r="Q9" i="24"/>
  <c r="E8" i="24"/>
  <c r="E12" i="24" s="1"/>
  <c r="F8" i="24" s="1"/>
  <c r="F12" i="24" s="1"/>
  <c r="E15" i="24"/>
  <c r="E19" i="24" s="1"/>
  <c r="F15" i="24" s="1"/>
  <c r="F19" i="24" s="1"/>
  <c r="G15" i="24" s="1"/>
  <c r="G19" i="24" s="1"/>
  <c r="H15" i="24" s="1"/>
  <c r="H19" i="24" s="1"/>
  <c r="I15" i="24" s="1"/>
  <c r="I19" i="24" s="1"/>
  <c r="J15" i="24" s="1"/>
  <c r="J19" i="24" s="1"/>
  <c r="K15" i="24" s="1"/>
  <c r="K19" i="24" s="1"/>
  <c r="L15" i="24" s="1"/>
  <c r="L19" i="24" s="1"/>
  <c r="M15" i="24" s="1"/>
  <c r="M19" i="24" s="1"/>
  <c r="N15" i="24" s="1"/>
  <c r="N19" i="24" s="1"/>
  <c r="O15" i="24" s="1"/>
  <c r="O19" i="24" s="1"/>
  <c r="P15" i="24" s="1"/>
  <c r="E22" i="24"/>
  <c r="E26" i="24" s="1"/>
  <c r="F22" i="24" s="1"/>
  <c r="F26" i="24" s="1"/>
  <c r="G22" i="24" s="1"/>
  <c r="Q46" i="24"/>
  <c r="Q45" i="24"/>
  <c r="Q44" i="24"/>
  <c r="Q40" i="24"/>
  <c r="Q39" i="24"/>
  <c r="Q38" i="24"/>
  <c r="Q37" i="24"/>
  <c r="Q36" i="24"/>
  <c r="Q20" i="24"/>
  <c r="Q13" i="24"/>
  <c r="D3" i="24"/>
  <c r="I9" i="23"/>
  <c r="V9" i="23"/>
  <c r="V10" i="23"/>
  <c r="V11" i="23"/>
  <c r="V12" i="23"/>
  <c r="V13" i="23"/>
  <c r="V14" i="23"/>
  <c r="V15" i="23"/>
  <c r="V16" i="23"/>
  <c r="V17" i="23"/>
  <c r="V18" i="23"/>
  <c r="V19" i="23"/>
  <c r="V20" i="23"/>
  <c r="V21" i="23"/>
  <c r="V22" i="23"/>
  <c r="V23" i="23"/>
  <c r="V24" i="23"/>
  <c r="V25" i="23"/>
  <c r="V26" i="23"/>
  <c r="V27" i="23"/>
  <c r="V28" i="23"/>
  <c r="V29" i="23"/>
  <c r="V30" i="23"/>
  <c r="V31" i="23"/>
  <c r="V32" i="23"/>
  <c r="V33" i="23"/>
  <c r="V34" i="23"/>
  <c r="V35" i="23"/>
  <c r="V36" i="23"/>
  <c r="V37" i="23"/>
  <c r="V38" i="23"/>
  <c r="V39" i="23"/>
  <c r="V40" i="23"/>
  <c r="V41" i="23"/>
  <c r="V42" i="23"/>
  <c r="V43" i="23"/>
  <c r="V44" i="23"/>
  <c r="L75" i="5"/>
  <c r="L76" i="5" s="1"/>
  <c r="K75" i="5"/>
  <c r="K76" i="5" s="1"/>
  <c r="J75" i="5"/>
  <c r="J76" i="5" s="1"/>
  <c r="C75" i="5"/>
  <c r="B75" i="5"/>
  <c r="L74" i="5"/>
  <c r="K74" i="5"/>
  <c r="J74" i="5"/>
  <c r="C74" i="5"/>
  <c r="B74" i="5"/>
  <c r="L73" i="5"/>
  <c r="K73" i="5"/>
  <c r="J73" i="5"/>
  <c r="C73" i="5"/>
  <c r="B73" i="5"/>
  <c r="L72" i="5"/>
  <c r="K72" i="5"/>
  <c r="J72" i="5"/>
  <c r="C72" i="5"/>
  <c r="B72" i="5"/>
  <c r="L71" i="5"/>
  <c r="K71" i="5"/>
  <c r="J71" i="5"/>
  <c r="C71" i="5"/>
  <c r="B71" i="5"/>
  <c r="L70" i="5"/>
  <c r="K70" i="5"/>
  <c r="J70" i="5"/>
  <c r="C70" i="5"/>
  <c r="B70" i="5"/>
  <c r="L69" i="5"/>
  <c r="K69" i="5"/>
  <c r="J69" i="5"/>
  <c r="C69" i="5"/>
  <c r="B69" i="5"/>
  <c r="L68" i="5"/>
  <c r="K68" i="5"/>
  <c r="J68" i="5"/>
  <c r="C68" i="5"/>
  <c r="B68" i="5"/>
  <c r="L67" i="5"/>
  <c r="K67" i="5"/>
  <c r="J67" i="5"/>
  <c r="C67" i="5"/>
  <c r="B67" i="5"/>
  <c r="L66" i="5"/>
  <c r="K66" i="5"/>
  <c r="J66" i="5"/>
  <c r="C66" i="5"/>
  <c r="B66" i="5"/>
  <c r="L65" i="5"/>
  <c r="K65" i="5"/>
  <c r="J65" i="5"/>
  <c r="C65" i="5"/>
  <c r="B65" i="5"/>
  <c r="L64" i="5"/>
  <c r="K64" i="5"/>
  <c r="J64" i="5"/>
  <c r="C64" i="5"/>
  <c r="B64" i="5"/>
  <c r="L63" i="5"/>
  <c r="K63" i="5"/>
  <c r="J63" i="5"/>
  <c r="C63" i="5"/>
  <c r="B63" i="5"/>
  <c r="L62" i="5"/>
  <c r="K62" i="5"/>
  <c r="J62" i="5"/>
  <c r="C62" i="5"/>
  <c r="B62" i="5"/>
  <c r="L61" i="5"/>
  <c r="K61" i="5"/>
  <c r="J61" i="5"/>
  <c r="C61" i="5"/>
  <c r="B61" i="5"/>
  <c r="L60" i="5"/>
  <c r="K60" i="5"/>
  <c r="J60" i="5"/>
  <c r="C60" i="5"/>
  <c r="B60" i="5"/>
  <c r="L59" i="5"/>
  <c r="K59" i="5"/>
  <c r="J59" i="5"/>
  <c r="C59" i="5"/>
  <c r="B59" i="5"/>
  <c r="L58" i="5"/>
  <c r="K58" i="5"/>
  <c r="J58" i="5"/>
  <c r="C58" i="5"/>
  <c r="B58" i="5"/>
  <c r="L57" i="5"/>
  <c r="K57" i="5"/>
  <c r="J57" i="5"/>
  <c r="C57" i="5"/>
  <c r="B57" i="5"/>
  <c r="L56" i="5"/>
  <c r="K56" i="5"/>
  <c r="J56" i="5"/>
  <c r="C56" i="5"/>
  <c r="B56" i="5"/>
  <c r="L55" i="5"/>
  <c r="K55" i="5"/>
  <c r="J55" i="5"/>
  <c r="C55" i="5"/>
  <c r="B55" i="5"/>
  <c r="L54" i="5"/>
  <c r="K54" i="5"/>
  <c r="J54" i="5"/>
  <c r="C54" i="5"/>
  <c r="B54" i="5"/>
  <c r="L53" i="5"/>
  <c r="K53" i="5"/>
  <c r="J53" i="5"/>
  <c r="C53" i="5"/>
  <c r="B53" i="5"/>
  <c r="L52" i="5"/>
  <c r="K52" i="5"/>
  <c r="J52" i="5"/>
  <c r="C52" i="5"/>
  <c r="B52" i="5"/>
  <c r="L51" i="5"/>
  <c r="K51" i="5"/>
  <c r="J51" i="5"/>
  <c r="C51" i="5"/>
  <c r="B51" i="5"/>
  <c r="L50" i="5"/>
  <c r="K50" i="5"/>
  <c r="J50" i="5"/>
  <c r="C50" i="5"/>
  <c r="B50" i="5"/>
  <c r="L49" i="5"/>
  <c r="K49" i="5"/>
  <c r="J49" i="5"/>
  <c r="C49" i="5"/>
  <c r="B49" i="5"/>
  <c r="L48" i="5"/>
  <c r="K48" i="5"/>
  <c r="J48" i="5"/>
  <c r="C48" i="5"/>
  <c r="B48" i="5"/>
  <c r="L47" i="5"/>
  <c r="K47" i="5"/>
  <c r="J47" i="5"/>
  <c r="C47" i="5"/>
  <c r="B47" i="5"/>
  <c r="L46" i="5"/>
  <c r="K46" i="5"/>
  <c r="J46" i="5"/>
  <c r="C46" i="5"/>
  <c r="B46" i="5"/>
  <c r="L45" i="5"/>
  <c r="K45" i="5"/>
  <c r="J45" i="5"/>
  <c r="C45" i="5"/>
  <c r="B45" i="5"/>
  <c r="L44" i="5"/>
  <c r="K44" i="5"/>
  <c r="J44" i="5"/>
  <c r="C44" i="5"/>
  <c r="B44" i="5"/>
  <c r="L43" i="5"/>
  <c r="K43" i="5"/>
  <c r="J43" i="5"/>
  <c r="C43" i="5"/>
  <c r="B43" i="5"/>
  <c r="L42" i="5"/>
  <c r="K42" i="5"/>
  <c r="J42" i="5"/>
  <c r="C42" i="5"/>
  <c r="B42" i="5"/>
  <c r="L41" i="5"/>
  <c r="K41" i="5"/>
  <c r="J41" i="5"/>
  <c r="C41" i="5"/>
  <c r="B41" i="5"/>
  <c r="L40" i="5"/>
  <c r="K40" i="5"/>
  <c r="J40" i="5"/>
  <c r="C40" i="5"/>
  <c r="B40" i="5"/>
  <c r="L39" i="5"/>
  <c r="K39" i="5"/>
  <c r="J39" i="5"/>
  <c r="C39" i="5"/>
  <c r="B39" i="5"/>
  <c r="L38" i="5"/>
  <c r="K38" i="5"/>
  <c r="J38" i="5"/>
  <c r="C38" i="5"/>
  <c r="B38" i="5"/>
  <c r="C37" i="5"/>
  <c r="B37" i="5"/>
  <c r="C36" i="5"/>
  <c r="B36" i="5"/>
  <c r="C35" i="5"/>
  <c r="B35" i="5"/>
  <c r="C34" i="5"/>
  <c r="B34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C6" i="5"/>
  <c r="B6" i="5"/>
  <c r="H2" i="5"/>
  <c r="J6" i="13"/>
  <c r="J6" i="12"/>
  <c r="L75" i="13"/>
  <c r="L76" i="13" s="1"/>
  <c r="K75" i="13"/>
  <c r="K76" i="13" s="1"/>
  <c r="J75" i="13"/>
  <c r="J76" i="13" s="1"/>
  <c r="C75" i="13"/>
  <c r="B75" i="13"/>
  <c r="L74" i="13"/>
  <c r="K74" i="13"/>
  <c r="J74" i="13"/>
  <c r="C74" i="13"/>
  <c r="B74" i="13"/>
  <c r="L73" i="13"/>
  <c r="K73" i="13"/>
  <c r="J73" i="13"/>
  <c r="C73" i="13"/>
  <c r="B73" i="13"/>
  <c r="L72" i="13"/>
  <c r="K72" i="13"/>
  <c r="J72" i="13"/>
  <c r="C72" i="13"/>
  <c r="B72" i="13"/>
  <c r="L71" i="13"/>
  <c r="K71" i="13"/>
  <c r="J71" i="13"/>
  <c r="C71" i="13"/>
  <c r="B71" i="13"/>
  <c r="L70" i="13"/>
  <c r="K70" i="13"/>
  <c r="J70" i="13"/>
  <c r="C70" i="13"/>
  <c r="B70" i="13"/>
  <c r="L69" i="13"/>
  <c r="K69" i="13"/>
  <c r="J69" i="13"/>
  <c r="C69" i="13"/>
  <c r="B69" i="13"/>
  <c r="L68" i="13"/>
  <c r="K68" i="13"/>
  <c r="J68" i="13"/>
  <c r="C68" i="13"/>
  <c r="B68" i="13"/>
  <c r="L67" i="13"/>
  <c r="K67" i="13"/>
  <c r="J67" i="13"/>
  <c r="C67" i="13"/>
  <c r="B67" i="13"/>
  <c r="L66" i="13"/>
  <c r="K66" i="13"/>
  <c r="J66" i="13"/>
  <c r="C66" i="13"/>
  <c r="B66" i="13"/>
  <c r="L65" i="13"/>
  <c r="K65" i="13"/>
  <c r="J65" i="13"/>
  <c r="C65" i="13"/>
  <c r="B65" i="13"/>
  <c r="L64" i="13"/>
  <c r="K64" i="13"/>
  <c r="J64" i="13"/>
  <c r="C64" i="13"/>
  <c r="B64" i="13"/>
  <c r="L63" i="13"/>
  <c r="K63" i="13"/>
  <c r="J63" i="13"/>
  <c r="C63" i="13"/>
  <c r="B63" i="13"/>
  <c r="L62" i="13"/>
  <c r="K62" i="13"/>
  <c r="J62" i="13"/>
  <c r="C62" i="13"/>
  <c r="B62" i="13"/>
  <c r="L61" i="13"/>
  <c r="K61" i="13"/>
  <c r="J61" i="13"/>
  <c r="C61" i="13"/>
  <c r="B61" i="13"/>
  <c r="L60" i="13"/>
  <c r="K60" i="13"/>
  <c r="J60" i="13"/>
  <c r="C60" i="13"/>
  <c r="B60" i="13"/>
  <c r="L59" i="13"/>
  <c r="K59" i="13"/>
  <c r="J59" i="13"/>
  <c r="C59" i="13"/>
  <c r="B59" i="13"/>
  <c r="L58" i="13"/>
  <c r="K58" i="13"/>
  <c r="J58" i="13"/>
  <c r="C58" i="13"/>
  <c r="B58" i="13"/>
  <c r="L57" i="13"/>
  <c r="K57" i="13"/>
  <c r="J57" i="13"/>
  <c r="C57" i="13"/>
  <c r="B57" i="13"/>
  <c r="L56" i="13"/>
  <c r="K56" i="13"/>
  <c r="J56" i="13"/>
  <c r="C56" i="13"/>
  <c r="B56" i="13"/>
  <c r="L55" i="13"/>
  <c r="K55" i="13"/>
  <c r="J55" i="13"/>
  <c r="C55" i="13"/>
  <c r="B55" i="13"/>
  <c r="L54" i="13"/>
  <c r="K54" i="13"/>
  <c r="J54" i="13"/>
  <c r="C54" i="13"/>
  <c r="B54" i="13"/>
  <c r="L53" i="13"/>
  <c r="K53" i="13"/>
  <c r="J53" i="13"/>
  <c r="C53" i="13"/>
  <c r="B53" i="13"/>
  <c r="L52" i="13"/>
  <c r="K52" i="13"/>
  <c r="J52" i="13"/>
  <c r="C52" i="13"/>
  <c r="B52" i="13"/>
  <c r="L51" i="13"/>
  <c r="K51" i="13"/>
  <c r="J51" i="13"/>
  <c r="C51" i="13"/>
  <c r="B51" i="13"/>
  <c r="L50" i="13"/>
  <c r="K50" i="13"/>
  <c r="J50" i="13"/>
  <c r="C50" i="13"/>
  <c r="B50" i="13"/>
  <c r="L49" i="13"/>
  <c r="K49" i="13"/>
  <c r="J49" i="13"/>
  <c r="C49" i="13"/>
  <c r="B49" i="13"/>
  <c r="L48" i="13"/>
  <c r="K48" i="13"/>
  <c r="J48" i="13"/>
  <c r="C48" i="13"/>
  <c r="B48" i="13"/>
  <c r="L47" i="13"/>
  <c r="K47" i="13"/>
  <c r="J47" i="13"/>
  <c r="C47" i="13"/>
  <c r="B47" i="13"/>
  <c r="L46" i="13"/>
  <c r="K46" i="13"/>
  <c r="J46" i="13"/>
  <c r="C46" i="13"/>
  <c r="B46" i="13"/>
  <c r="L45" i="13"/>
  <c r="K45" i="13"/>
  <c r="J45" i="13"/>
  <c r="C45" i="13"/>
  <c r="B45" i="13"/>
  <c r="L44" i="13"/>
  <c r="K44" i="13"/>
  <c r="J44" i="13"/>
  <c r="C44" i="13"/>
  <c r="B44" i="13"/>
  <c r="L43" i="13"/>
  <c r="K43" i="13"/>
  <c r="J43" i="13"/>
  <c r="C43" i="13"/>
  <c r="B43" i="13"/>
  <c r="L42" i="13"/>
  <c r="K42" i="13"/>
  <c r="J42" i="13"/>
  <c r="C42" i="13"/>
  <c r="B42" i="13"/>
  <c r="L41" i="13"/>
  <c r="K41" i="13"/>
  <c r="J41" i="13"/>
  <c r="C41" i="13"/>
  <c r="B41" i="13"/>
  <c r="L40" i="13"/>
  <c r="K40" i="13"/>
  <c r="J40" i="13"/>
  <c r="C40" i="13"/>
  <c r="B40" i="13"/>
  <c r="L39" i="13"/>
  <c r="K39" i="13"/>
  <c r="J39" i="13"/>
  <c r="C39" i="13"/>
  <c r="B39" i="13"/>
  <c r="L38" i="13"/>
  <c r="K38" i="13"/>
  <c r="J38" i="13"/>
  <c r="C38" i="13"/>
  <c r="B38" i="13"/>
  <c r="C37" i="13"/>
  <c r="B37" i="13"/>
  <c r="C36" i="13"/>
  <c r="B36" i="13"/>
  <c r="C35" i="13"/>
  <c r="B35" i="13"/>
  <c r="C34" i="13"/>
  <c r="B34" i="13"/>
  <c r="C33" i="13"/>
  <c r="B33" i="13"/>
  <c r="C32" i="13"/>
  <c r="B32" i="13"/>
  <c r="C31" i="13"/>
  <c r="B31" i="13"/>
  <c r="C30" i="13"/>
  <c r="B30" i="13"/>
  <c r="C29" i="13"/>
  <c r="B29" i="13"/>
  <c r="C28" i="13"/>
  <c r="B28" i="13"/>
  <c r="C27" i="13"/>
  <c r="B27" i="13"/>
  <c r="C26" i="13"/>
  <c r="B26" i="13"/>
  <c r="C25" i="13"/>
  <c r="B25" i="13"/>
  <c r="C24" i="13"/>
  <c r="B24" i="13"/>
  <c r="C23" i="13"/>
  <c r="B23" i="13"/>
  <c r="C22" i="13"/>
  <c r="B22" i="13"/>
  <c r="C21" i="13"/>
  <c r="B21" i="13"/>
  <c r="C20" i="13"/>
  <c r="B20" i="13"/>
  <c r="C19" i="13"/>
  <c r="B19" i="13"/>
  <c r="C18" i="13"/>
  <c r="B18" i="13"/>
  <c r="C17" i="13"/>
  <c r="B17" i="13"/>
  <c r="C16" i="13"/>
  <c r="B16" i="13"/>
  <c r="C15" i="13"/>
  <c r="B15" i="13"/>
  <c r="C14" i="13"/>
  <c r="B14" i="13"/>
  <c r="C13" i="13"/>
  <c r="B13" i="13"/>
  <c r="C12" i="13"/>
  <c r="B12" i="13"/>
  <c r="C11" i="13"/>
  <c r="B11" i="13"/>
  <c r="C10" i="13"/>
  <c r="B10" i="13"/>
  <c r="C9" i="13"/>
  <c r="B9" i="13"/>
  <c r="C8" i="13"/>
  <c r="B8" i="13"/>
  <c r="J7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C7" i="13"/>
  <c r="B7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K6" i="13"/>
  <c r="K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C6" i="13"/>
  <c r="B6" i="13"/>
  <c r="H2" i="13"/>
  <c r="L75" i="12"/>
  <c r="L76" i="12" s="1"/>
  <c r="K75" i="12"/>
  <c r="K76" i="12"/>
  <c r="J75" i="12"/>
  <c r="J76" i="12" s="1"/>
  <c r="C75" i="12"/>
  <c r="B75" i="12"/>
  <c r="L74" i="12"/>
  <c r="K74" i="12"/>
  <c r="J74" i="12"/>
  <c r="C74" i="12"/>
  <c r="B74" i="12"/>
  <c r="L73" i="12"/>
  <c r="K73" i="12"/>
  <c r="J73" i="12"/>
  <c r="C73" i="12"/>
  <c r="B73" i="12"/>
  <c r="L72" i="12"/>
  <c r="K72" i="12"/>
  <c r="J72" i="12"/>
  <c r="C72" i="12"/>
  <c r="B72" i="12"/>
  <c r="L71" i="12"/>
  <c r="K71" i="12"/>
  <c r="J71" i="12"/>
  <c r="L70" i="12"/>
  <c r="K70" i="12"/>
  <c r="J70" i="12"/>
  <c r="L69" i="12"/>
  <c r="K69" i="12"/>
  <c r="J69" i="12"/>
  <c r="L68" i="12"/>
  <c r="K68" i="12"/>
  <c r="J68" i="12"/>
  <c r="L67" i="12"/>
  <c r="K67" i="12"/>
  <c r="J67" i="12"/>
  <c r="L66" i="12"/>
  <c r="K66" i="12"/>
  <c r="J66" i="12"/>
  <c r="L65" i="12"/>
  <c r="K65" i="12"/>
  <c r="J65" i="12"/>
  <c r="L64" i="12"/>
  <c r="K64" i="12"/>
  <c r="J64" i="12"/>
  <c r="L63" i="12"/>
  <c r="K63" i="12"/>
  <c r="J63" i="12"/>
  <c r="L62" i="12"/>
  <c r="K62" i="12"/>
  <c r="J62" i="12"/>
  <c r="L61" i="12"/>
  <c r="K61" i="12"/>
  <c r="J61" i="12"/>
  <c r="L60" i="12"/>
  <c r="K60" i="12"/>
  <c r="J60" i="12"/>
  <c r="L59" i="12"/>
  <c r="K59" i="12"/>
  <c r="J59" i="12"/>
  <c r="L58" i="12"/>
  <c r="K58" i="12"/>
  <c r="J58" i="12"/>
  <c r="L57" i="12"/>
  <c r="K57" i="12"/>
  <c r="J57" i="12"/>
  <c r="L56" i="12"/>
  <c r="K56" i="12"/>
  <c r="J56" i="12"/>
  <c r="L55" i="12"/>
  <c r="K55" i="12"/>
  <c r="J55" i="12"/>
  <c r="L54" i="12"/>
  <c r="K54" i="12"/>
  <c r="J54" i="12"/>
  <c r="L53" i="12"/>
  <c r="K53" i="12"/>
  <c r="J53" i="12"/>
  <c r="L52" i="12"/>
  <c r="K52" i="12"/>
  <c r="J52" i="12"/>
  <c r="L51" i="12"/>
  <c r="K51" i="12"/>
  <c r="J51" i="12"/>
  <c r="L50" i="12"/>
  <c r="K50" i="12"/>
  <c r="J50" i="12"/>
  <c r="L49" i="12"/>
  <c r="K49" i="12"/>
  <c r="J49" i="12"/>
  <c r="L48" i="12"/>
  <c r="K48" i="12"/>
  <c r="J48" i="12"/>
  <c r="L47" i="12"/>
  <c r="K47" i="12"/>
  <c r="J47" i="12"/>
  <c r="L46" i="12"/>
  <c r="K46" i="12"/>
  <c r="J46" i="12"/>
  <c r="L45" i="12"/>
  <c r="K45" i="12"/>
  <c r="J45" i="12"/>
  <c r="L44" i="12"/>
  <c r="K44" i="12"/>
  <c r="J44" i="12"/>
  <c r="L43" i="12"/>
  <c r="K43" i="12"/>
  <c r="J43" i="12"/>
  <c r="L42" i="12"/>
  <c r="K42" i="12"/>
  <c r="J42" i="12"/>
  <c r="L41" i="12"/>
  <c r="K41" i="12"/>
  <c r="J41" i="12"/>
  <c r="L40" i="12"/>
  <c r="K40" i="12"/>
  <c r="J40" i="12"/>
  <c r="L39" i="12"/>
  <c r="K39" i="12"/>
  <c r="J39" i="12"/>
  <c r="L38" i="12"/>
  <c r="K38" i="12"/>
  <c r="J38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6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H2" i="12"/>
  <c r="L75" i="11"/>
  <c r="L76" i="11" s="1"/>
  <c r="K75" i="11"/>
  <c r="K76" i="11" s="1"/>
  <c r="J75" i="11"/>
  <c r="J76" i="11" s="1"/>
  <c r="C75" i="11"/>
  <c r="B75" i="11"/>
  <c r="L74" i="11"/>
  <c r="K74" i="11"/>
  <c r="J74" i="11"/>
  <c r="C74" i="11"/>
  <c r="B74" i="11"/>
  <c r="L73" i="11"/>
  <c r="K73" i="11"/>
  <c r="J73" i="11"/>
  <c r="C73" i="11"/>
  <c r="B73" i="11"/>
  <c r="L72" i="11"/>
  <c r="K72" i="11"/>
  <c r="J72" i="11"/>
  <c r="C72" i="11"/>
  <c r="B72" i="11"/>
  <c r="L71" i="11"/>
  <c r="K71" i="11"/>
  <c r="J71" i="11"/>
  <c r="C71" i="11"/>
  <c r="B71" i="11"/>
  <c r="L70" i="11"/>
  <c r="K70" i="11"/>
  <c r="J70" i="11"/>
  <c r="C70" i="11"/>
  <c r="B70" i="11"/>
  <c r="L69" i="11"/>
  <c r="K69" i="11"/>
  <c r="J69" i="11"/>
  <c r="C69" i="11"/>
  <c r="B69" i="11"/>
  <c r="L68" i="11"/>
  <c r="K68" i="11"/>
  <c r="J68" i="11"/>
  <c r="C68" i="11"/>
  <c r="B68" i="11"/>
  <c r="L67" i="11"/>
  <c r="K67" i="11"/>
  <c r="J67" i="11"/>
  <c r="C67" i="11"/>
  <c r="B67" i="11"/>
  <c r="L66" i="11"/>
  <c r="K66" i="11"/>
  <c r="J66" i="11"/>
  <c r="C66" i="11"/>
  <c r="B66" i="11"/>
  <c r="L65" i="11"/>
  <c r="K65" i="11"/>
  <c r="J65" i="11"/>
  <c r="C65" i="11"/>
  <c r="B65" i="11"/>
  <c r="L64" i="11"/>
  <c r="K64" i="11"/>
  <c r="J64" i="11"/>
  <c r="C64" i="11"/>
  <c r="B64" i="11"/>
  <c r="L63" i="11"/>
  <c r="K63" i="11"/>
  <c r="J63" i="11"/>
  <c r="C63" i="11"/>
  <c r="B63" i="11"/>
  <c r="L62" i="11"/>
  <c r="K62" i="11"/>
  <c r="J62" i="11"/>
  <c r="C62" i="11"/>
  <c r="B62" i="11"/>
  <c r="L61" i="11"/>
  <c r="K61" i="11"/>
  <c r="J61" i="11"/>
  <c r="C61" i="11"/>
  <c r="B61" i="11"/>
  <c r="L60" i="11"/>
  <c r="K60" i="11"/>
  <c r="J60" i="11"/>
  <c r="C60" i="11"/>
  <c r="B60" i="11"/>
  <c r="L59" i="11"/>
  <c r="K59" i="11"/>
  <c r="J59" i="11"/>
  <c r="C59" i="11"/>
  <c r="B59" i="11"/>
  <c r="L58" i="11"/>
  <c r="K58" i="11"/>
  <c r="J58" i="11"/>
  <c r="C58" i="11"/>
  <c r="B58" i="11"/>
  <c r="L57" i="11"/>
  <c r="K57" i="11"/>
  <c r="J57" i="11"/>
  <c r="C57" i="11"/>
  <c r="B57" i="11"/>
  <c r="L56" i="11"/>
  <c r="K56" i="11"/>
  <c r="J56" i="11"/>
  <c r="C56" i="11"/>
  <c r="B56" i="11"/>
  <c r="L55" i="11"/>
  <c r="K55" i="11"/>
  <c r="J55" i="11"/>
  <c r="C55" i="11"/>
  <c r="B55" i="11"/>
  <c r="L54" i="11"/>
  <c r="K54" i="11"/>
  <c r="J54" i="11"/>
  <c r="C54" i="11"/>
  <c r="B54" i="11"/>
  <c r="L53" i="11"/>
  <c r="K53" i="11"/>
  <c r="J53" i="11"/>
  <c r="C53" i="11"/>
  <c r="B53" i="11"/>
  <c r="L52" i="11"/>
  <c r="K52" i="11"/>
  <c r="J52" i="11"/>
  <c r="C52" i="11"/>
  <c r="B52" i="11"/>
  <c r="L51" i="11"/>
  <c r="K51" i="11"/>
  <c r="J51" i="11"/>
  <c r="C51" i="11"/>
  <c r="B51" i="11"/>
  <c r="L50" i="11"/>
  <c r="K50" i="11"/>
  <c r="J50" i="11"/>
  <c r="C50" i="11"/>
  <c r="B50" i="11"/>
  <c r="L49" i="11"/>
  <c r="K49" i="11"/>
  <c r="J49" i="11"/>
  <c r="C49" i="11"/>
  <c r="B49" i="11"/>
  <c r="L48" i="11"/>
  <c r="K48" i="11"/>
  <c r="J48" i="11"/>
  <c r="C48" i="11"/>
  <c r="B48" i="11"/>
  <c r="L47" i="11"/>
  <c r="K47" i="11"/>
  <c r="J47" i="11"/>
  <c r="C47" i="11"/>
  <c r="B47" i="11"/>
  <c r="L46" i="11"/>
  <c r="K46" i="11"/>
  <c r="J46" i="11"/>
  <c r="C46" i="11"/>
  <c r="B46" i="11"/>
  <c r="L45" i="11"/>
  <c r="K45" i="11"/>
  <c r="J45" i="11"/>
  <c r="C45" i="11"/>
  <c r="B45" i="11"/>
  <c r="L44" i="11"/>
  <c r="K44" i="11"/>
  <c r="J44" i="11"/>
  <c r="C44" i="11"/>
  <c r="B44" i="11"/>
  <c r="L43" i="11"/>
  <c r="K43" i="11"/>
  <c r="J43" i="11"/>
  <c r="C43" i="11"/>
  <c r="B43" i="11"/>
  <c r="L42" i="11"/>
  <c r="K42" i="11"/>
  <c r="J42" i="11"/>
  <c r="C42" i="11"/>
  <c r="B42" i="11"/>
  <c r="L41" i="11"/>
  <c r="K41" i="11"/>
  <c r="J41" i="11"/>
  <c r="C41" i="11"/>
  <c r="B41" i="11"/>
  <c r="L40" i="11"/>
  <c r="K40" i="11"/>
  <c r="J40" i="11"/>
  <c r="C40" i="11"/>
  <c r="B40" i="11"/>
  <c r="L39" i="11"/>
  <c r="K39" i="11"/>
  <c r="J39" i="11"/>
  <c r="C39" i="11"/>
  <c r="B39" i="11"/>
  <c r="L38" i="11"/>
  <c r="K38" i="11"/>
  <c r="J38" i="11"/>
  <c r="C38" i="11"/>
  <c r="B38" i="11"/>
  <c r="C37" i="11"/>
  <c r="B37" i="11"/>
  <c r="C36" i="11"/>
  <c r="B36" i="11"/>
  <c r="C35" i="11"/>
  <c r="B35" i="11"/>
  <c r="C34" i="11"/>
  <c r="B34" i="11"/>
  <c r="C33" i="11"/>
  <c r="B33" i="11"/>
  <c r="C32" i="11"/>
  <c r="B32" i="11"/>
  <c r="C31" i="11"/>
  <c r="B31" i="11"/>
  <c r="C30" i="11"/>
  <c r="B30" i="11"/>
  <c r="C29" i="11"/>
  <c r="B29" i="11"/>
  <c r="C28" i="11"/>
  <c r="B28" i="11"/>
  <c r="C27" i="11"/>
  <c r="B27" i="11"/>
  <c r="C26" i="11"/>
  <c r="B26" i="11"/>
  <c r="C25" i="11"/>
  <c r="B25" i="11"/>
  <c r="C24" i="11"/>
  <c r="B24" i="11"/>
  <c r="C23" i="11"/>
  <c r="B23" i="11"/>
  <c r="C22" i="11"/>
  <c r="B22" i="11"/>
  <c r="C21" i="11"/>
  <c r="B21" i="11"/>
  <c r="C20" i="11"/>
  <c r="B20" i="11"/>
  <c r="C19" i="11"/>
  <c r="B19" i="11"/>
  <c r="C18" i="11"/>
  <c r="B18" i="11"/>
  <c r="C17" i="11"/>
  <c r="B17" i="11"/>
  <c r="C16" i="11"/>
  <c r="B16" i="11"/>
  <c r="C15" i="11"/>
  <c r="B15" i="11"/>
  <c r="C14" i="11"/>
  <c r="B14" i="11"/>
  <c r="C13" i="11"/>
  <c r="B13" i="11"/>
  <c r="C12" i="11"/>
  <c r="B12" i="11"/>
  <c r="C11" i="11"/>
  <c r="B11" i="11"/>
  <c r="C10" i="11"/>
  <c r="B10" i="11"/>
  <c r="C9" i="11"/>
  <c r="B9" i="11"/>
  <c r="C8" i="11"/>
  <c r="B8" i="11"/>
  <c r="C7" i="11"/>
  <c r="B7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C6" i="11"/>
  <c r="B6" i="11"/>
  <c r="H2" i="11"/>
  <c r="L75" i="10"/>
  <c r="L76" i="10" s="1"/>
  <c r="K75" i="10"/>
  <c r="K76" i="10" s="1"/>
  <c r="J75" i="10"/>
  <c r="J76" i="10" s="1"/>
  <c r="C75" i="10"/>
  <c r="B75" i="10"/>
  <c r="L74" i="10"/>
  <c r="K74" i="10"/>
  <c r="J74" i="10"/>
  <c r="C74" i="10"/>
  <c r="B74" i="10"/>
  <c r="L73" i="10"/>
  <c r="K73" i="10"/>
  <c r="J73" i="10"/>
  <c r="C73" i="10"/>
  <c r="B73" i="10"/>
  <c r="L72" i="10"/>
  <c r="K72" i="10"/>
  <c r="J72" i="10"/>
  <c r="C72" i="10"/>
  <c r="B72" i="10"/>
  <c r="L71" i="10"/>
  <c r="K71" i="10"/>
  <c r="J71" i="10"/>
  <c r="C71" i="10"/>
  <c r="B71" i="10"/>
  <c r="L70" i="10"/>
  <c r="K70" i="10"/>
  <c r="J70" i="10"/>
  <c r="C70" i="10"/>
  <c r="B70" i="10"/>
  <c r="L69" i="10"/>
  <c r="K69" i="10"/>
  <c r="J69" i="10"/>
  <c r="C69" i="10"/>
  <c r="B69" i="10"/>
  <c r="L68" i="10"/>
  <c r="K68" i="10"/>
  <c r="J68" i="10"/>
  <c r="C68" i="10"/>
  <c r="B68" i="10"/>
  <c r="L67" i="10"/>
  <c r="K67" i="10"/>
  <c r="J67" i="10"/>
  <c r="C67" i="10"/>
  <c r="B67" i="10"/>
  <c r="L66" i="10"/>
  <c r="K66" i="10"/>
  <c r="J66" i="10"/>
  <c r="C66" i="10"/>
  <c r="B66" i="10"/>
  <c r="L65" i="10"/>
  <c r="K65" i="10"/>
  <c r="J65" i="10"/>
  <c r="C65" i="10"/>
  <c r="B65" i="10"/>
  <c r="L64" i="10"/>
  <c r="K64" i="10"/>
  <c r="J64" i="10"/>
  <c r="C64" i="10"/>
  <c r="B64" i="10"/>
  <c r="L63" i="10"/>
  <c r="K63" i="10"/>
  <c r="J63" i="10"/>
  <c r="C63" i="10"/>
  <c r="B63" i="10"/>
  <c r="L62" i="10"/>
  <c r="K62" i="10"/>
  <c r="J62" i="10"/>
  <c r="C62" i="10"/>
  <c r="B62" i="10"/>
  <c r="L61" i="10"/>
  <c r="K61" i="10"/>
  <c r="J61" i="10"/>
  <c r="C61" i="10"/>
  <c r="B61" i="10"/>
  <c r="L60" i="10"/>
  <c r="K60" i="10"/>
  <c r="J60" i="10"/>
  <c r="C60" i="10"/>
  <c r="B60" i="10"/>
  <c r="L59" i="10"/>
  <c r="K59" i="10"/>
  <c r="J59" i="10"/>
  <c r="C59" i="10"/>
  <c r="B59" i="10"/>
  <c r="L58" i="10"/>
  <c r="K58" i="10"/>
  <c r="J58" i="10"/>
  <c r="C58" i="10"/>
  <c r="B58" i="10"/>
  <c r="L57" i="10"/>
  <c r="K57" i="10"/>
  <c r="J57" i="10"/>
  <c r="C57" i="10"/>
  <c r="B57" i="10"/>
  <c r="L56" i="10"/>
  <c r="K56" i="10"/>
  <c r="J56" i="10"/>
  <c r="C56" i="10"/>
  <c r="B56" i="10"/>
  <c r="L55" i="10"/>
  <c r="K55" i="10"/>
  <c r="J55" i="10"/>
  <c r="C55" i="10"/>
  <c r="B55" i="10"/>
  <c r="L54" i="10"/>
  <c r="K54" i="10"/>
  <c r="J54" i="10"/>
  <c r="C54" i="10"/>
  <c r="B54" i="10"/>
  <c r="L53" i="10"/>
  <c r="K53" i="10"/>
  <c r="J53" i="10"/>
  <c r="C53" i="10"/>
  <c r="B53" i="10"/>
  <c r="L52" i="10"/>
  <c r="K52" i="10"/>
  <c r="J52" i="10"/>
  <c r="C52" i="10"/>
  <c r="B52" i="10"/>
  <c r="L51" i="10"/>
  <c r="K51" i="10"/>
  <c r="J51" i="10"/>
  <c r="C51" i="10"/>
  <c r="B51" i="10"/>
  <c r="L50" i="10"/>
  <c r="K50" i="10"/>
  <c r="J50" i="10"/>
  <c r="C50" i="10"/>
  <c r="B50" i="10"/>
  <c r="L49" i="10"/>
  <c r="K49" i="10"/>
  <c r="J49" i="10"/>
  <c r="C49" i="10"/>
  <c r="B49" i="10"/>
  <c r="L48" i="10"/>
  <c r="K48" i="10"/>
  <c r="J48" i="10"/>
  <c r="C48" i="10"/>
  <c r="B48" i="10"/>
  <c r="L47" i="10"/>
  <c r="K47" i="10"/>
  <c r="J47" i="10"/>
  <c r="C47" i="10"/>
  <c r="B47" i="10"/>
  <c r="L46" i="10"/>
  <c r="K46" i="10"/>
  <c r="J46" i="10"/>
  <c r="C46" i="10"/>
  <c r="B46" i="10"/>
  <c r="L45" i="10"/>
  <c r="K45" i="10"/>
  <c r="J45" i="10"/>
  <c r="C45" i="10"/>
  <c r="B45" i="10"/>
  <c r="L44" i="10"/>
  <c r="K44" i="10"/>
  <c r="J44" i="10"/>
  <c r="C44" i="10"/>
  <c r="B44" i="10"/>
  <c r="L43" i="10"/>
  <c r="K43" i="10"/>
  <c r="J43" i="10"/>
  <c r="C43" i="10"/>
  <c r="B43" i="10"/>
  <c r="L42" i="10"/>
  <c r="K42" i="10"/>
  <c r="J42" i="10"/>
  <c r="C42" i="10"/>
  <c r="B42" i="10"/>
  <c r="L41" i="10"/>
  <c r="K41" i="10"/>
  <c r="J41" i="10"/>
  <c r="C41" i="10"/>
  <c r="B41" i="10"/>
  <c r="L40" i="10"/>
  <c r="K40" i="10"/>
  <c r="J40" i="10"/>
  <c r="C40" i="10"/>
  <c r="B40" i="10"/>
  <c r="L39" i="10"/>
  <c r="K39" i="10"/>
  <c r="J39" i="10"/>
  <c r="C39" i="10"/>
  <c r="B39" i="10"/>
  <c r="L38" i="10"/>
  <c r="K38" i="10"/>
  <c r="J38" i="10"/>
  <c r="C38" i="10"/>
  <c r="B38" i="10"/>
  <c r="C37" i="10"/>
  <c r="B37" i="10"/>
  <c r="C36" i="10"/>
  <c r="B36" i="10"/>
  <c r="C35" i="10"/>
  <c r="B35" i="10"/>
  <c r="C34" i="10"/>
  <c r="B34" i="10"/>
  <c r="C33" i="10"/>
  <c r="B33" i="10"/>
  <c r="C32" i="10"/>
  <c r="B32" i="10"/>
  <c r="C31" i="10"/>
  <c r="B31" i="10"/>
  <c r="C30" i="10"/>
  <c r="B30" i="10"/>
  <c r="C29" i="10"/>
  <c r="B29" i="10"/>
  <c r="C28" i="10"/>
  <c r="B28" i="10"/>
  <c r="C27" i="10"/>
  <c r="B27" i="10"/>
  <c r="C26" i="10"/>
  <c r="B26" i="10"/>
  <c r="C25" i="10"/>
  <c r="B25" i="10"/>
  <c r="C24" i="10"/>
  <c r="B24" i="10"/>
  <c r="C23" i="10"/>
  <c r="B23" i="10"/>
  <c r="C22" i="10"/>
  <c r="B22" i="10"/>
  <c r="C21" i="10"/>
  <c r="B21" i="10"/>
  <c r="C20" i="10"/>
  <c r="B20" i="10"/>
  <c r="C19" i="10"/>
  <c r="B19" i="10"/>
  <c r="C18" i="10"/>
  <c r="B18" i="10"/>
  <c r="C17" i="10"/>
  <c r="B17" i="10"/>
  <c r="C16" i="10"/>
  <c r="B16" i="10"/>
  <c r="C15" i="10"/>
  <c r="B15" i="10"/>
  <c r="C14" i="10"/>
  <c r="B14" i="10"/>
  <c r="C13" i="10"/>
  <c r="B13" i="10"/>
  <c r="C12" i="10"/>
  <c r="B12" i="10"/>
  <c r="C11" i="10"/>
  <c r="B11" i="10"/>
  <c r="C10" i="10"/>
  <c r="B10" i="10"/>
  <c r="C9" i="10"/>
  <c r="B9" i="10"/>
  <c r="C8" i="10"/>
  <c r="B8" i="10"/>
  <c r="C7" i="10"/>
  <c r="B7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K6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C6" i="10"/>
  <c r="B6" i="10"/>
  <c r="H2" i="10"/>
  <c r="L75" i="9"/>
  <c r="L76" i="9" s="1"/>
  <c r="K75" i="9"/>
  <c r="K76" i="9" s="1"/>
  <c r="J75" i="9"/>
  <c r="J76" i="9" s="1"/>
  <c r="C75" i="9"/>
  <c r="B75" i="9"/>
  <c r="L74" i="9"/>
  <c r="K74" i="9"/>
  <c r="J74" i="9"/>
  <c r="C74" i="9"/>
  <c r="B74" i="9"/>
  <c r="L73" i="9"/>
  <c r="K73" i="9"/>
  <c r="J73" i="9"/>
  <c r="C73" i="9"/>
  <c r="B73" i="9"/>
  <c r="L72" i="9"/>
  <c r="K72" i="9"/>
  <c r="J72" i="9"/>
  <c r="C72" i="9"/>
  <c r="B72" i="9"/>
  <c r="L71" i="9"/>
  <c r="K71" i="9"/>
  <c r="J71" i="9"/>
  <c r="C71" i="9"/>
  <c r="B71" i="9"/>
  <c r="L70" i="9"/>
  <c r="K70" i="9"/>
  <c r="J70" i="9"/>
  <c r="C70" i="9"/>
  <c r="B70" i="9"/>
  <c r="L69" i="9"/>
  <c r="K69" i="9"/>
  <c r="J69" i="9"/>
  <c r="C69" i="9"/>
  <c r="B69" i="9"/>
  <c r="L68" i="9"/>
  <c r="K68" i="9"/>
  <c r="J68" i="9"/>
  <c r="C68" i="9"/>
  <c r="B68" i="9"/>
  <c r="L67" i="9"/>
  <c r="K67" i="9"/>
  <c r="J67" i="9"/>
  <c r="C67" i="9"/>
  <c r="B67" i="9"/>
  <c r="L66" i="9"/>
  <c r="K66" i="9"/>
  <c r="J66" i="9"/>
  <c r="C66" i="9"/>
  <c r="B66" i="9"/>
  <c r="L65" i="9"/>
  <c r="K65" i="9"/>
  <c r="J65" i="9"/>
  <c r="C65" i="9"/>
  <c r="B65" i="9"/>
  <c r="L64" i="9"/>
  <c r="K64" i="9"/>
  <c r="J64" i="9"/>
  <c r="C64" i="9"/>
  <c r="B64" i="9"/>
  <c r="L63" i="9"/>
  <c r="K63" i="9"/>
  <c r="J63" i="9"/>
  <c r="C63" i="9"/>
  <c r="B63" i="9"/>
  <c r="L62" i="9"/>
  <c r="K62" i="9"/>
  <c r="J62" i="9"/>
  <c r="C62" i="9"/>
  <c r="B62" i="9"/>
  <c r="L61" i="9"/>
  <c r="K61" i="9"/>
  <c r="J61" i="9"/>
  <c r="C61" i="9"/>
  <c r="B61" i="9"/>
  <c r="L60" i="9"/>
  <c r="K60" i="9"/>
  <c r="J60" i="9"/>
  <c r="C60" i="9"/>
  <c r="B60" i="9"/>
  <c r="L59" i="9"/>
  <c r="K59" i="9"/>
  <c r="J59" i="9"/>
  <c r="C59" i="9"/>
  <c r="B59" i="9"/>
  <c r="L58" i="9"/>
  <c r="K58" i="9"/>
  <c r="J58" i="9"/>
  <c r="C58" i="9"/>
  <c r="B58" i="9"/>
  <c r="L57" i="9"/>
  <c r="K57" i="9"/>
  <c r="J57" i="9"/>
  <c r="C57" i="9"/>
  <c r="B57" i="9"/>
  <c r="L56" i="9"/>
  <c r="K56" i="9"/>
  <c r="J56" i="9"/>
  <c r="C56" i="9"/>
  <c r="B56" i="9"/>
  <c r="L55" i="9"/>
  <c r="K55" i="9"/>
  <c r="J55" i="9"/>
  <c r="C55" i="9"/>
  <c r="B55" i="9"/>
  <c r="L54" i="9"/>
  <c r="K54" i="9"/>
  <c r="J54" i="9"/>
  <c r="C54" i="9"/>
  <c r="B54" i="9"/>
  <c r="L53" i="9"/>
  <c r="K53" i="9"/>
  <c r="J53" i="9"/>
  <c r="C53" i="9"/>
  <c r="B53" i="9"/>
  <c r="L52" i="9"/>
  <c r="K52" i="9"/>
  <c r="J52" i="9"/>
  <c r="C52" i="9"/>
  <c r="B52" i="9"/>
  <c r="L51" i="9"/>
  <c r="K51" i="9"/>
  <c r="J51" i="9"/>
  <c r="C51" i="9"/>
  <c r="B51" i="9"/>
  <c r="L50" i="9"/>
  <c r="K50" i="9"/>
  <c r="J50" i="9"/>
  <c r="C50" i="9"/>
  <c r="B50" i="9"/>
  <c r="L49" i="9"/>
  <c r="K49" i="9"/>
  <c r="J49" i="9"/>
  <c r="C49" i="9"/>
  <c r="B49" i="9"/>
  <c r="L48" i="9"/>
  <c r="K48" i="9"/>
  <c r="J48" i="9"/>
  <c r="C48" i="9"/>
  <c r="B48" i="9"/>
  <c r="L47" i="9"/>
  <c r="K47" i="9"/>
  <c r="J47" i="9"/>
  <c r="C47" i="9"/>
  <c r="B47" i="9"/>
  <c r="L46" i="9"/>
  <c r="K46" i="9"/>
  <c r="J46" i="9"/>
  <c r="C46" i="9"/>
  <c r="B46" i="9"/>
  <c r="L45" i="9"/>
  <c r="K45" i="9"/>
  <c r="J45" i="9"/>
  <c r="C45" i="9"/>
  <c r="B45" i="9"/>
  <c r="L44" i="9"/>
  <c r="K44" i="9"/>
  <c r="J44" i="9"/>
  <c r="C44" i="9"/>
  <c r="B44" i="9"/>
  <c r="L43" i="9"/>
  <c r="K43" i="9"/>
  <c r="J43" i="9"/>
  <c r="C43" i="9"/>
  <c r="B43" i="9"/>
  <c r="L42" i="9"/>
  <c r="K42" i="9"/>
  <c r="J42" i="9"/>
  <c r="C42" i="9"/>
  <c r="B42" i="9"/>
  <c r="L41" i="9"/>
  <c r="K41" i="9"/>
  <c r="J41" i="9"/>
  <c r="C41" i="9"/>
  <c r="B41" i="9"/>
  <c r="L40" i="9"/>
  <c r="K40" i="9"/>
  <c r="J40" i="9"/>
  <c r="C40" i="9"/>
  <c r="B40" i="9"/>
  <c r="L39" i="9"/>
  <c r="K39" i="9"/>
  <c r="J39" i="9"/>
  <c r="C39" i="9"/>
  <c r="B39" i="9"/>
  <c r="L38" i="9"/>
  <c r="K38" i="9"/>
  <c r="J38" i="9"/>
  <c r="C38" i="9"/>
  <c r="B38" i="9"/>
  <c r="C37" i="9"/>
  <c r="B37" i="9"/>
  <c r="C36" i="9"/>
  <c r="B36" i="9"/>
  <c r="C35" i="9"/>
  <c r="B35" i="9"/>
  <c r="C34" i="9"/>
  <c r="B34" i="9"/>
  <c r="C33" i="9"/>
  <c r="B33" i="9"/>
  <c r="C32" i="9"/>
  <c r="B32" i="9"/>
  <c r="C31" i="9"/>
  <c r="B31" i="9"/>
  <c r="C30" i="9"/>
  <c r="B30" i="9"/>
  <c r="C29" i="9"/>
  <c r="B29" i="9"/>
  <c r="C28" i="9"/>
  <c r="B28" i="9"/>
  <c r="C27" i="9"/>
  <c r="B27" i="9"/>
  <c r="C26" i="9"/>
  <c r="B26" i="9"/>
  <c r="C25" i="9"/>
  <c r="B25" i="9"/>
  <c r="C24" i="9"/>
  <c r="B24" i="9"/>
  <c r="C23" i="9"/>
  <c r="B23" i="9"/>
  <c r="C22" i="9"/>
  <c r="B22" i="9"/>
  <c r="C21" i="9"/>
  <c r="B21" i="9"/>
  <c r="C20" i="9"/>
  <c r="B20" i="9"/>
  <c r="C19" i="9"/>
  <c r="B19" i="9"/>
  <c r="C18" i="9"/>
  <c r="B18" i="9"/>
  <c r="C17" i="9"/>
  <c r="B17" i="9"/>
  <c r="C16" i="9"/>
  <c r="B16" i="9"/>
  <c r="C15" i="9"/>
  <c r="B15" i="9"/>
  <c r="C14" i="9"/>
  <c r="B14" i="9"/>
  <c r="C13" i="9"/>
  <c r="B13" i="9"/>
  <c r="C12" i="9"/>
  <c r="B12" i="9"/>
  <c r="C11" i="9"/>
  <c r="B11" i="9"/>
  <c r="C10" i="9"/>
  <c r="B10" i="9"/>
  <c r="C9" i="9"/>
  <c r="B9" i="9"/>
  <c r="C8" i="9"/>
  <c r="B8" i="9"/>
  <c r="C7" i="9"/>
  <c r="B7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C6" i="9"/>
  <c r="B6" i="9"/>
  <c r="H2" i="9"/>
  <c r="L75" i="8"/>
  <c r="L76" i="8" s="1"/>
  <c r="K75" i="8"/>
  <c r="K76" i="8" s="1"/>
  <c r="J75" i="8"/>
  <c r="J76" i="8" s="1"/>
  <c r="C75" i="8"/>
  <c r="B75" i="8"/>
  <c r="L74" i="8"/>
  <c r="K74" i="8"/>
  <c r="J74" i="8"/>
  <c r="C74" i="8"/>
  <c r="B74" i="8"/>
  <c r="L73" i="8"/>
  <c r="K73" i="8"/>
  <c r="J73" i="8"/>
  <c r="C73" i="8"/>
  <c r="B73" i="8"/>
  <c r="L72" i="8"/>
  <c r="K72" i="8"/>
  <c r="J72" i="8"/>
  <c r="C72" i="8"/>
  <c r="B72" i="8"/>
  <c r="L71" i="8"/>
  <c r="K71" i="8"/>
  <c r="J71" i="8"/>
  <c r="C71" i="8"/>
  <c r="B71" i="8"/>
  <c r="L70" i="8"/>
  <c r="K70" i="8"/>
  <c r="J70" i="8"/>
  <c r="C70" i="8"/>
  <c r="B70" i="8"/>
  <c r="L69" i="8"/>
  <c r="K69" i="8"/>
  <c r="J69" i="8"/>
  <c r="C69" i="8"/>
  <c r="B69" i="8"/>
  <c r="L68" i="8"/>
  <c r="K68" i="8"/>
  <c r="J68" i="8"/>
  <c r="C68" i="8"/>
  <c r="B68" i="8"/>
  <c r="L67" i="8"/>
  <c r="K67" i="8"/>
  <c r="J67" i="8"/>
  <c r="C67" i="8"/>
  <c r="B67" i="8"/>
  <c r="L66" i="8"/>
  <c r="K66" i="8"/>
  <c r="J66" i="8"/>
  <c r="C66" i="8"/>
  <c r="B66" i="8"/>
  <c r="L65" i="8"/>
  <c r="K65" i="8"/>
  <c r="J65" i="8"/>
  <c r="C65" i="8"/>
  <c r="B65" i="8"/>
  <c r="L64" i="8"/>
  <c r="K64" i="8"/>
  <c r="J64" i="8"/>
  <c r="C64" i="8"/>
  <c r="B64" i="8"/>
  <c r="L63" i="8"/>
  <c r="K63" i="8"/>
  <c r="J63" i="8"/>
  <c r="C63" i="8"/>
  <c r="B63" i="8"/>
  <c r="L62" i="8"/>
  <c r="K62" i="8"/>
  <c r="J62" i="8"/>
  <c r="C62" i="8"/>
  <c r="B62" i="8"/>
  <c r="L61" i="8"/>
  <c r="K61" i="8"/>
  <c r="J61" i="8"/>
  <c r="C61" i="8"/>
  <c r="B61" i="8"/>
  <c r="L60" i="8"/>
  <c r="K60" i="8"/>
  <c r="J60" i="8"/>
  <c r="C60" i="8"/>
  <c r="B60" i="8"/>
  <c r="L59" i="8"/>
  <c r="K59" i="8"/>
  <c r="J59" i="8"/>
  <c r="C59" i="8"/>
  <c r="B59" i="8"/>
  <c r="L58" i="8"/>
  <c r="K58" i="8"/>
  <c r="J58" i="8"/>
  <c r="C58" i="8"/>
  <c r="B58" i="8"/>
  <c r="L57" i="8"/>
  <c r="K57" i="8"/>
  <c r="J57" i="8"/>
  <c r="C57" i="8"/>
  <c r="B57" i="8"/>
  <c r="L56" i="8"/>
  <c r="K56" i="8"/>
  <c r="J56" i="8"/>
  <c r="C56" i="8"/>
  <c r="B56" i="8"/>
  <c r="L55" i="8"/>
  <c r="K55" i="8"/>
  <c r="J55" i="8"/>
  <c r="C55" i="8"/>
  <c r="B55" i="8"/>
  <c r="L54" i="8"/>
  <c r="K54" i="8"/>
  <c r="J54" i="8"/>
  <c r="C54" i="8"/>
  <c r="B54" i="8"/>
  <c r="L53" i="8"/>
  <c r="K53" i="8"/>
  <c r="J53" i="8"/>
  <c r="C53" i="8"/>
  <c r="B53" i="8"/>
  <c r="L52" i="8"/>
  <c r="K52" i="8"/>
  <c r="J52" i="8"/>
  <c r="C52" i="8"/>
  <c r="B52" i="8"/>
  <c r="L51" i="8"/>
  <c r="K51" i="8"/>
  <c r="J51" i="8"/>
  <c r="C51" i="8"/>
  <c r="B51" i="8"/>
  <c r="L50" i="8"/>
  <c r="K50" i="8"/>
  <c r="J50" i="8"/>
  <c r="C50" i="8"/>
  <c r="B50" i="8"/>
  <c r="L49" i="8"/>
  <c r="K49" i="8"/>
  <c r="J49" i="8"/>
  <c r="C49" i="8"/>
  <c r="B49" i="8"/>
  <c r="L48" i="8"/>
  <c r="K48" i="8"/>
  <c r="J48" i="8"/>
  <c r="C48" i="8"/>
  <c r="B48" i="8"/>
  <c r="L47" i="8"/>
  <c r="K47" i="8"/>
  <c r="J47" i="8"/>
  <c r="C47" i="8"/>
  <c r="B47" i="8"/>
  <c r="L46" i="8"/>
  <c r="K46" i="8"/>
  <c r="J46" i="8"/>
  <c r="C46" i="8"/>
  <c r="B46" i="8"/>
  <c r="L45" i="8"/>
  <c r="K45" i="8"/>
  <c r="J45" i="8"/>
  <c r="C45" i="8"/>
  <c r="B45" i="8"/>
  <c r="L44" i="8"/>
  <c r="K44" i="8"/>
  <c r="J44" i="8"/>
  <c r="C44" i="8"/>
  <c r="B44" i="8"/>
  <c r="L43" i="8"/>
  <c r="K43" i="8"/>
  <c r="J43" i="8"/>
  <c r="C43" i="8"/>
  <c r="B43" i="8"/>
  <c r="L42" i="8"/>
  <c r="K42" i="8"/>
  <c r="J42" i="8"/>
  <c r="C42" i="8"/>
  <c r="B42" i="8"/>
  <c r="L41" i="8"/>
  <c r="K41" i="8"/>
  <c r="J41" i="8"/>
  <c r="C41" i="8"/>
  <c r="B41" i="8"/>
  <c r="L40" i="8"/>
  <c r="K40" i="8"/>
  <c r="J40" i="8"/>
  <c r="C40" i="8"/>
  <c r="B40" i="8"/>
  <c r="L39" i="8"/>
  <c r="K39" i="8"/>
  <c r="J39" i="8"/>
  <c r="C39" i="8"/>
  <c r="B39" i="8"/>
  <c r="L38" i="8"/>
  <c r="K38" i="8"/>
  <c r="J38" i="8"/>
  <c r="C38" i="8"/>
  <c r="B38" i="8"/>
  <c r="C37" i="8"/>
  <c r="B37" i="8"/>
  <c r="C36" i="8"/>
  <c r="B36" i="8"/>
  <c r="C35" i="8"/>
  <c r="B35" i="8"/>
  <c r="C34" i="8"/>
  <c r="B34" i="8"/>
  <c r="C33" i="8"/>
  <c r="B33" i="8"/>
  <c r="C32" i="8"/>
  <c r="B32" i="8"/>
  <c r="C31" i="8"/>
  <c r="B31" i="8"/>
  <c r="C30" i="8"/>
  <c r="B30" i="8"/>
  <c r="C29" i="8"/>
  <c r="B29" i="8"/>
  <c r="C28" i="8"/>
  <c r="B28" i="8"/>
  <c r="C27" i="8"/>
  <c r="B27" i="8"/>
  <c r="C26" i="8"/>
  <c r="B26" i="8"/>
  <c r="C25" i="8"/>
  <c r="B25" i="8"/>
  <c r="C24" i="8"/>
  <c r="B24" i="8"/>
  <c r="C23" i="8"/>
  <c r="B23" i="8"/>
  <c r="C22" i="8"/>
  <c r="B22" i="8"/>
  <c r="C21" i="8"/>
  <c r="B21" i="8"/>
  <c r="C20" i="8"/>
  <c r="B20" i="8"/>
  <c r="C19" i="8"/>
  <c r="B19" i="8"/>
  <c r="C18" i="8"/>
  <c r="B18" i="8"/>
  <c r="C17" i="8"/>
  <c r="B17" i="8"/>
  <c r="C16" i="8"/>
  <c r="B16" i="8"/>
  <c r="C15" i="8"/>
  <c r="B15" i="8"/>
  <c r="C14" i="8"/>
  <c r="B14" i="8"/>
  <c r="C13" i="8"/>
  <c r="B13" i="8"/>
  <c r="C12" i="8"/>
  <c r="B12" i="8"/>
  <c r="C11" i="8"/>
  <c r="B11" i="8"/>
  <c r="C10" i="8"/>
  <c r="B10" i="8"/>
  <c r="C9" i="8"/>
  <c r="B9" i="8"/>
  <c r="C8" i="8"/>
  <c r="B8" i="8"/>
  <c r="C7" i="8"/>
  <c r="B7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C6" i="8"/>
  <c r="B6" i="8"/>
  <c r="H2" i="8"/>
  <c r="L75" i="7"/>
  <c r="L76" i="7"/>
  <c r="K75" i="7"/>
  <c r="K76" i="7" s="1"/>
  <c r="J75" i="7"/>
  <c r="J76" i="7" s="1"/>
  <c r="C75" i="7"/>
  <c r="B75" i="7"/>
  <c r="L74" i="7"/>
  <c r="K74" i="7"/>
  <c r="J74" i="7"/>
  <c r="C74" i="7"/>
  <c r="B74" i="7"/>
  <c r="L73" i="7"/>
  <c r="K73" i="7"/>
  <c r="J73" i="7"/>
  <c r="C73" i="7"/>
  <c r="B73" i="7"/>
  <c r="L72" i="7"/>
  <c r="K72" i="7"/>
  <c r="J72" i="7"/>
  <c r="C72" i="7"/>
  <c r="B72" i="7"/>
  <c r="L71" i="7"/>
  <c r="K71" i="7"/>
  <c r="J71" i="7"/>
  <c r="C71" i="7"/>
  <c r="B71" i="7"/>
  <c r="L70" i="7"/>
  <c r="K70" i="7"/>
  <c r="J70" i="7"/>
  <c r="C70" i="7"/>
  <c r="B70" i="7"/>
  <c r="L69" i="7"/>
  <c r="K69" i="7"/>
  <c r="J69" i="7"/>
  <c r="C69" i="7"/>
  <c r="B69" i="7"/>
  <c r="L68" i="7"/>
  <c r="K68" i="7"/>
  <c r="J68" i="7"/>
  <c r="C68" i="7"/>
  <c r="B68" i="7"/>
  <c r="L67" i="7"/>
  <c r="K67" i="7"/>
  <c r="J67" i="7"/>
  <c r="C67" i="7"/>
  <c r="B67" i="7"/>
  <c r="L66" i="7"/>
  <c r="K66" i="7"/>
  <c r="J66" i="7"/>
  <c r="C66" i="7"/>
  <c r="B66" i="7"/>
  <c r="L65" i="7"/>
  <c r="K65" i="7"/>
  <c r="J65" i="7"/>
  <c r="C65" i="7"/>
  <c r="B65" i="7"/>
  <c r="L64" i="7"/>
  <c r="K64" i="7"/>
  <c r="J64" i="7"/>
  <c r="C64" i="7"/>
  <c r="B64" i="7"/>
  <c r="L63" i="7"/>
  <c r="K63" i="7"/>
  <c r="J63" i="7"/>
  <c r="C63" i="7"/>
  <c r="B63" i="7"/>
  <c r="L62" i="7"/>
  <c r="K62" i="7"/>
  <c r="J62" i="7"/>
  <c r="C62" i="7"/>
  <c r="B62" i="7"/>
  <c r="L61" i="7"/>
  <c r="K61" i="7"/>
  <c r="J61" i="7"/>
  <c r="C61" i="7"/>
  <c r="B61" i="7"/>
  <c r="L60" i="7"/>
  <c r="K60" i="7"/>
  <c r="J60" i="7"/>
  <c r="C60" i="7"/>
  <c r="B60" i="7"/>
  <c r="L59" i="7"/>
  <c r="K59" i="7"/>
  <c r="J59" i="7"/>
  <c r="C59" i="7"/>
  <c r="B59" i="7"/>
  <c r="L58" i="7"/>
  <c r="K58" i="7"/>
  <c r="J58" i="7"/>
  <c r="C58" i="7"/>
  <c r="B58" i="7"/>
  <c r="L57" i="7"/>
  <c r="K57" i="7"/>
  <c r="J57" i="7"/>
  <c r="C57" i="7"/>
  <c r="B57" i="7"/>
  <c r="L56" i="7"/>
  <c r="K56" i="7"/>
  <c r="J56" i="7"/>
  <c r="C56" i="7"/>
  <c r="B56" i="7"/>
  <c r="L55" i="7"/>
  <c r="K55" i="7"/>
  <c r="J55" i="7"/>
  <c r="C55" i="7"/>
  <c r="B55" i="7"/>
  <c r="L54" i="7"/>
  <c r="K54" i="7"/>
  <c r="J54" i="7"/>
  <c r="C54" i="7"/>
  <c r="B54" i="7"/>
  <c r="L53" i="7"/>
  <c r="K53" i="7"/>
  <c r="J53" i="7"/>
  <c r="C53" i="7"/>
  <c r="B53" i="7"/>
  <c r="L52" i="7"/>
  <c r="K52" i="7"/>
  <c r="J52" i="7"/>
  <c r="C52" i="7"/>
  <c r="B52" i="7"/>
  <c r="L51" i="7"/>
  <c r="K51" i="7"/>
  <c r="J51" i="7"/>
  <c r="C51" i="7"/>
  <c r="B51" i="7"/>
  <c r="L50" i="7"/>
  <c r="K50" i="7"/>
  <c r="J50" i="7"/>
  <c r="C50" i="7"/>
  <c r="B50" i="7"/>
  <c r="L49" i="7"/>
  <c r="K49" i="7"/>
  <c r="J49" i="7"/>
  <c r="C49" i="7"/>
  <c r="B49" i="7"/>
  <c r="L48" i="7"/>
  <c r="K48" i="7"/>
  <c r="J48" i="7"/>
  <c r="C48" i="7"/>
  <c r="B48" i="7"/>
  <c r="L47" i="7"/>
  <c r="K47" i="7"/>
  <c r="J47" i="7"/>
  <c r="C47" i="7"/>
  <c r="B47" i="7"/>
  <c r="L46" i="7"/>
  <c r="K46" i="7"/>
  <c r="J46" i="7"/>
  <c r="C46" i="7"/>
  <c r="B46" i="7"/>
  <c r="L45" i="7"/>
  <c r="K45" i="7"/>
  <c r="J45" i="7"/>
  <c r="C45" i="7"/>
  <c r="B45" i="7"/>
  <c r="L44" i="7"/>
  <c r="K44" i="7"/>
  <c r="J44" i="7"/>
  <c r="C44" i="7"/>
  <c r="B44" i="7"/>
  <c r="L43" i="7"/>
  <c r="K43" i="7"/>
  <c r="J43" i="7"/>
  <c r="C43" i="7"/>
  <c r="B43" i="7"/>
  <c r="L42" i="7"/>
  <c r="K42" i="7"/>
  <c r="J42" i="7"/>
  <c r="C42" i="7"/>
  <c r="B42" i="7"/>
  <c r="L41" i="7"/>
  <c r="K41" i="7"/>
  <c r="J41" i="7"/>
  <c r="C41" i="7"/>
  <c r="B41" i="7"/>
  <c r="L40" i="7"/>
  <c r="K40" i="7"/>
  <c r="J40" i="7"/>
  <c r="C40" i="7"/>
  <c r="B40" i="7"/>
  <c r="L39" i="7"/>
  <c r="K39" i="7"/>
  <c r="J39" i="7"/>
  <c r="C39" i="7"/>
  <c r="B39" i="7"/>
  <c r="L38" i="7"/>
  <c r="K38" i="7"/>
  <c r="J38" i="7"/>
  <c r="C38" i="7"/>
  <c r="B38" i="7"/>
  <c r="C37" i="7"/>
  <c r="B37" i="7"/>
  <c r="C36" i="7"/>
  <c r="B36" i="7"/>
  <c r="C35" i="7"/>
  <c r="B35" i="7"/>
  <c r="C34" i="7"/>
  <c r="B34" i="7"/>
  <c r="C33" i="7"/>
  <c r="B33" i="7"/>
  <c r="C32" i="7"/>
  <c r="B32" i="7"/>
  <c r="C31" i="7"/>
  <c r="B31" i="7"/>
  <c r="C30" i="7"/>
  <c r="B30" i="7"/>
  <c r="C29" i="7"/>
  <c r="B29" i="7"/>
  <c r="C28" i="7"/>
  <c r="B28" i="7"/>
  <c r="C27" i="7"/>
  <c r="B27" i="7"/>
  <c r="C26" i="7"/>
  <c r="B26" i="7"/>
  <c r="C25" i="7"/>
  <c r="B25" i="7"/>
  <c r="C24" i="7"/>
  <c r="B24" i="7"/>
  <c r="C23" i="7"/>
  <c r="B23" i="7"/>
  <c r="C22" i="7"/>
  <c r="B22" i="7"/>
  <c r="C21" i="7"/>
  <c r="B21" i="7"/>
  <c r="C20" i="7"/>
  <c r="B20" i="7"/>
  <c r="C19" i="7"/>
  <c r="B19" i="7"/>
  <c r="C18" i="7"/>
  <c r="B18" i="7"/>
  <c r="C17" i="7"/>
  <c r="B17" i="7"/>
  <c r="C16" i="7"/>
  <c r="B16" i="7"/>
  <c r="C15" i="7"/>
  <c r="B15" i="7"/>
  <c r="C14" i="7"/>
  <c r="B14" i="7"/>
  <c r="C13" i="7"/>
  <c r="B13" i="7"/>
  <c r="C12" i="7"/>
  <c r="B12" i="7"/>
  <c r="C11" i="7"/>
  <c r="B11" i="7"/>
  <c r="C10" i="7"/>
  <c r="B10" i="7"/>
  <c r="C9" i="7"/>
  <c r="B9" i="7"/>
  <c r="C8" i="7"/>
  <c r="B8" i="7"/>
  <c r="C7" i="7"/>
  <c r="B7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C6" i="7"/>
  <c r="B6" i="7"/>
  <c r="H2" i="7"/>
  <c r="L75" i="6"/>
  <c r="L76" i="6" s="1"/>
  <c r="K75" i="6"/>
  <c r="K76" i="6" s="1"/>
  <c r="J75" i="6"/>
  <c r="J76" i="6"/>
  <c r="C75" i="6"/>
  <c r="B75" i="6"/>
  <c r="L74" i="6"/>
  <c r="K74" i="6"/>
  <c r="J74" i="6"/>
  <c r="C74" i="6"/>
  <c r="B74" i="6"/>
  <c r="L73" i="6"/>
  <c r="K73" i="6"/>
  <c r="J73" i="6"/>
  <c r="C73" i="6"/>
  <c r="B73" i="6"/>
  <c r="L72" i="6"/>
  <c r="K72" i="6"/>
  <c r="J72" i="6"/>
  <c r="C72" i="6"/>
  <c r="B72" i="6"/>
  <c r="L71" i="6"/>
  <c r="K71" i="6"/>
  <c r="J71" i="6"/>
  <c r="C71" i="6"/>
  <c r="B71" i="6"/>
  <c r="L70" i="6"/>
  <c r="K70" i="6"/>
  <c r="J70" i="6"/>
  <c r="C70" i="6"/>
  <c r="B70" i="6"/>
  <c r="L69" i="6"/>
  <c r="K69" i="6"/>
  <c r="J69" i="6"/>
  <c r="C69" i="6"/>
  <c r="B69" i="6"/>
  <c r="L68" i="6"/>
  <c r="K68" i="6"/>
  <c r="J68" i="6"/>
  <c r="C68" i="6"/>
  <c r="B68" i="6"/>
  <c r="L67" i="6"/>
  <c r="K67" i="6"/>
  <c r="J67" i="6"/>
  <c r="C67" i="6"/>
  <c r="B67" i="6"/>
  <c r="L66" i="6"/>
  <c r="K66" i="6"/>
  <c r="J66" i="6"/>
  <c r="C66" i="6"/>
  <c r="B66" i="6"/>
  <c r="L65" i="6"/>
  <c r="K65" i="6"/>
  <c r="J65" i="6"/>
  <c r="C65" i="6"/>
  <c r="B65" i="6"/>
  <c r="L64" i="6"/>
  <c r="K64" i="6"/>
  <c r="J64" i="6"/>
  <c r="C64" i="6"/>
  <c r="B64" i="6"/>
  <c r="L63" i="6"/>
  <c r="K63" i="6"/>
  <c r="J63" i="6"/>
  <c r="C63" i="6"/>
  <c r="B63" i="6"/>
  <c r="L62" i="6"/>
  <c r="K62" i="6"/>
  <c r="J62" i="6"/>
  <c r="C62" i="6"/>
  <c r="B62" i="6"/>
  <c r="L61" i="6"/>
  <c r="K61" i="6"/>
  <c r="J61" i="6"/>
  <c r="C61" i="6"/>
  <c r="B61" i="6"/>
  <c r="L60" i="6"/>
  <c r="K60" i="6"/>
  <c r="J60" i="6"/>
  <c r="C60" i="6"/>
  <c r="B60" i="6"/>
  <c r="L59" i="6"/>
  <c r="K59" i="6"/>
  <c r="J59" i="6"/>
  <c r="C59" i="6"/>
  <c r="B59" i="6"/>
  <c r="L58" i="6"/>
  <c r="K58" i="6"/>
  <c r="J58" i="6"/>
  <c r="C58" i="6"/>
  <c r="B58" i="6"/>
  <c r="L57" i="6"/>
  <c r="K57" i="6"/>
  <c r="J57" i="6"/>
  <c r="C57" i="6"/>
  <c r="B57" i="6"/>
  <c r="L56" i="6"/>
  <c r="K56" i="6"/>
  <c r="J56" i="6"/>
  <c r="C56" i="6"/>
  <c r="B56" i="6"/>
  <c r="L55" i="6"/>
  <c r="K55" i="6"/>
  <c r="J55" i="6"/>
  <c r="C55" i="6"/>
  <c r="B55" i="6"/>
  <c r="L54" i="6"/>
  <c r="K54" i="6"/>
  <c r="J54" i="6"/>
  <c r="C54" i="6"/>
  <c r="B54" i="6"/>
  <c r="L53" i="6"/>
  <c r="K53" i="6"/>
  <c r="J53" i="6"/>
  <c r="C53" i="6"/>
  <c r="B53" i="6"/>
  <c r="L52" i="6"/>
  <c r="K52" i="6"/>
  <c r="J52" i="6"/>
  <c r="C52" i="6"/>
  <c r="B52" i="6"/>
  <c r="L51" i="6"/>
  <c r="K51" i="6"/>
  <c r="J51" i="6"/>
  <c r="C51" i="6"/>
  <c r="B51" i="6"/>
  <c r="L50" i="6"/>
  <c r="K50" i="6"/>
  <c r="J50" i="6"/>
  <c r="C50" i="6"/>
  <c r="B50" i="6"/>
  <c r="L49" i="6"/>
  <c r="K49" i="6"/>
  <c r="J49" i="6"/>
  <c r="C49" i="6"/>
  <c r="B49" i="6"/>
  <c r="L48" i="6"/>
  <c r="K48" i="6"/>
  <c r="J48" i="6"/>
  <c r="C48" i="6"/>
  <c r="B48" i="6"/>
  <c r="L47" i="6"/>
  <c r="K47" i="6"/>
  <c r="J47" i="6"/>
  <c r="C47" i="6"/>
  <c r="B47" i="6"/>
  <c r="L46" i="6"/>
  <c r="K46" i="6"/>
  <c r="J46" i="6"/>
  <c r="C46" i="6"/>
  <c r="B46" i="6"/>
  <c r="L45" i="6"/>
  <c r="K45" i="6"/>
  <c r="J45" i="6"/>
  <c r="C45" i="6"/>
  <c r="B45" i="6"/>
  <c r="L44" i="6"/>
  <c r="K44" i="6"/>
  <c r="J44" i="6"/>
  <c r="C44" i="6"/>
  <c r="B44" i="6"/>
  <c r="L43" i="6"/>
  <c r="K43" i="6"/>
  <c r="J43" i="6"/>
  <c r="C43" i="6"/>
  <c r="B43" i="6"/>
  <c r="L42" i="6"/>
  <c r="K42" i="6"/>
  <c r="J42" i="6"/>
  <c r="C42" i="6"/>
  <c r="B42" i="6"/>
  <c r="L41" i="6"/>
  <c r="K41" i="6"/>
  <c r="J41" i="6"/>
  <c r="C41" i="6"/>
  <c r="B41" i="6"/>
  <c r="L40" i="6"/>
  <c r="K40" i="6"/>
  <c r="J40" i="6"/>
  <c r="C40" i="6"/>
  <c r="B40" i="6"/>
  <c r="L39" i="6"/>
  <c r="K39" i="6"/>
  <c r="J39" i="6"/>
  <c r="C39" i="6"/>
  <c r="B39" i="6"/>
  <c r="L38" i="6"/>
  <c r="K38" i="6"/>
  <c r="J38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C6" i="6"/>
  <c r="B6" i="6"/>
  <c r="H2" i="6"/>
  <c r="L75" i="18"/>
  <c r="L76" i="18" s="1"/>
  <c r="K75" i="18"/>
  <c r="K76" i="18" s="1"/>
  <c r="J75" i="18"/>
  <c r="J76" i="18" s="1"/>
  <c r="C75" i="18"/>
  <c r="B75" i="18"/>
  <c r="L74" i="18"/>
  <c r="K74" i="18"/>
  <c r="J74" i="18"/>
  <c r="C74" i="18"/>
  <c r="B74" i="18"/>
  <c r="L73" i="18"/>
  <c r="K73" i="18"/>
  <c r="J73" i="18"/>
  <c r="C73" i="18"/>
  <c r="B73" i="18"/>
  <c r="L72" i="18"/>
  <c r="K72" i="18"/>
  <c r="J72" i="18"/>
  <c r="C72" i="18"/>
  <c r="B72" i="18"/>
  <c r="L71" i="18"/>
  <c r="K71" i="18"/>
  <c r="J71" i="18"/>
  <c r="C71" i="18"/>
  <c r="B71" i="18"/>
  <c r="L70" i="18"/>
  <c r="K70" i="18"/>
  <c r="J70" i="18"/>
  <c r="C70" i="18"/>
  <c r="B70" i="18"/>
  <c r="L69" i="18"/>
  <c r="K69" i="18"/>
  <c r="J69" i="18"/>
  <c r="C69" i="18"/>
  <c r="B69" i="18"/>
  <c r="L68" i="18"/>
  <c r="K68" i="18"/>
  <c r="J68" i="18"/>
  <c r="C68" i="18"/>
  <c r="B68" i="18"/>
  <c r="L67" i="18"/>
  <c r="K67" i="18"/>
  <c r="J67" i="18"/>
  <c r="C67" i="18"/>
  <c r="B67" i="18"/>
  <c r="L66" i="18"/>
  <c r="K66" i="18"/>
  <c r="J66" i="18"/>
  <c r="C66" i="18"/>
  <c r="B66" i="18"/>
  <c r="L65" i="18"/>
  <c r="K65" i="18"/>
  <c r="J65" i="18"/>
  <c r="C65" i="18"/>
  <c r="B65" i="18"/>
  <c r="L64" i="18"/>
  <c r="K64" i="18"/>
  <c r="J64" i="18"/>
  <c r="C64" i="18"/>
  <c r="B64" i="18"/>
  <c r="L63" i="18"/>
  <c r="K63" i="18"/>
  <c r="J63" i="18"/>
  <c r="C63" i="18"/>
  <c r="B63" i="18"/>
  <c r="L62" i="18"/>
  <c r="K62" i="18"/>
  <c r="J62" i="18"/>
  <c r="C62" i="18"/>
  <c r="B62" i="18"/>
  <c r="L61" i="18"/>
  <c r="K61" i="18"/>
  <c r="J61" i="18"/>
  <c r="C61" i="18"/>
  <c r="B61" i="18"/>
  <c r="L60" i="18"/>
  <c r="K60" i="18"/>
  <c r="J60" i="18"/>
  <c r="C60" i="18"/>
  <c r="B60" i="18"/>
  <c r="L59" i="18"/>
  <c r="K59" i="18"/>
  <c r="J59" i="18"/>
  <c r="C59" i="18"/>
  <c r="B59" i="18"/>
  <c r="L58" i="18"/>
  <c r="K58" i="18"/>
  <c r="J58" i="18"/>
  <c r="C58" i="18"/>
  <c r="B58" i="18"/>
  <c r="L57" i="18"/>
  <c r="K57" i="18"/>
  <c r="J57" i="18"/>
  <c r="C57" i="18"/>
  <c r="B57" i="18"/>
  <c r="L56" i="18"/>
  <c r="K56" i="18"/>
  <c r="J56" i="18"/>
  <c r="C56" i="18"/>
  <c r="B56" i="18"/>
  <c r="L55" i="18"/>
  <c r="K55" i="18"/>
  <c r="J55" i="18"/>
  <c r="C55" i="18"/>
  <c r="B55" i="18"/>
  <c r="L54" i="18"/>
  <c r="K54" i="18"/>
  <c r="J54" i="18"/>
  <c r="C54" i="18"/>
  <c r="B54" i="18"/>
  <c r="L53" i="18"/>
  <c r="K53" i="18"/>
  <c r="J53" i="18"/>
  <c r="C53" i="18"/>
  <c r="B53" i="18"/>
  <c r="L52" i="18"/>
  <c r="K52" i="18"/>
  <c r="J52" i="18"/>
  <c r="C52" i="18"/>
  <c r="B52" i="18"/>
  <c r="L51" i="18"/>
  <c r="K51" i="18"/>
  <c r="J51" i="18"/>
  <c r="C51" i="18"/>
  <c r="B51" i="18"/>
  <c r="L50" i="18"/>
  <c r="K50" i="18"/>
  <c r="J50" i="18"/>
  <c r="C50" i="18"/>
  <c r="B50" i="18"/>
  <c r="L49" i="18"/>
  <c r="K49" i="18"/>
  <c r="J49" i="18"/>
  <c r="C49" i="18"/>
  <c r="B49" i="18"/>
  <c r="L48" i="18"/>
  <c r="K48" i="18"/>
  <c r="J48" i="18"/>
  <c r="C48" i="18"/>
  <c r="B48" i="18"/>
  <c r="L47" i="18"/>
  <c r="K47" i="18"/>
  <c r="J47" i="18"/>
  <c r="C47" i="18"/>
  <c r="B47" i="18"/>
  <c r="L46" i="18"/>
  <c r="K46" i="18"/>
  <c r="J46" i="18"/>
  <c r="C46" i="18"/>
  <c r="B46" i="18"/>
  <c r="L45" i="18"/>
  <c r="K45" i="18"/>
  <c r="J45" i="18"/>
  <c r="C45" i="18"/>
  <c r="B45" i="18"/>
  <c r="L44" i="18"/>
  <c r="K44" i="18"/>
  <c r="J44" i="18"/>
  <c r="C44" i="18"/>
  <c r="B44" i="18"/>
  <c r="L43" i="18"/>
  <c r="K43" i="18"/>
  <c r="J43" i="18"/>
  <c r="C43" i="18"/>
  <c r="B43" i="18"/>
  <c r="L42" i="18"/>
  <c r="K42" i="18"/>
  <c r="J42" i="18"/>
  <c r="C42" i="18"/>
  <c r="B42" i="18"/>
  <c r="L41" i="18"/>
  <c r="K41" i="18"/>
  <c r="J41" i="18"/>
  <c r="C41" i="18"/>
  <c r="B41" i="18"/>
  <c r="L40" i="18"/>
  <c r="K40" i="18"/>
  <c r="J40" i="18"/>
  <c r="C40" i="18"/>
  <c r="B40" i="18"/>
  <c r="L39" i="18"/>
  <c r="K39" i="18"/>
  <c r="J39" i="18"/>
  <c r="C39" i="18"/>
  <c r="B39" i="18"/>
  <c r="L38" i="18"/>
  <c r="K38" i="18"/>
  <c r="J38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C23" i="18"/>
  <c r="B23" i="18"/>
  <c r="C22" i="18"/>
  <c r="B22" i="18"/>
  <c r="C21" i="18"/>
  <c r="B21" i="18"/>
  <c r="C20" i="18"/>
  <c r="B20" i="18"/>
  <c r="C19" i="18"/>
  <c r="B19" i="18"/>
  <c r="C18" i="18"/>
  <c r="B18" i="18"/>
  <c r="C17" i="18"/>
  <c r="B17" i="18"/>
  <c r="C16" i="18"/>
  <c r="B16" i="18"/>
  <c r="C15" i="18"/>
  <c r="B15" i="18"/>
  <c r="C14" i="18"/>
  <c r="B14" i="18"/>
  <c r="C13" i="18"/>
  <c r="B13" i="18"/>
  <c r="C12" i="18"/>
  <c r="B12" i="18"/>
  <c r="C11" i="18"/>
  <c r="B11" i="18"/>
  <c r="C10" i="18"/>
  <c r="B10" i="18"/>
  <c r="C9" i="18"/>
  <c r="B9" i="18"/>
  <c r="C8" i="18"/>
  <c r="B8" i="18"/>
  <c r="C7" i="18"/>
  <c r="B7" i="18"/>
  <c r="L6" i="18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6" i="18"/>
  <c r="L37" i="18"/>
  <c r="K6" i="18"/>
  <c r="K7" i="18"/>
  <c r="K8" i="18"/>
  <c r="K9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J6" i="18"/>
  <c r="J7" i="18"/>
  <c r="J8" i="18"/>
  <c r="J9" i="18"/>
  <c r="J10" i="18"/>
  <c r="J11" i="18"/>
  <c r="J12" i="18"/>
  <c r="J13" i="18"/>
  <c r="J14" i="18"/>
  <c r="J15" i="18"/>
  <c r="J16" i="18"/>
  <c r="J17" i="18"/>
  <c r="J18" i="18"/>
  <c r="J19" i="18"/>
  <c r="J20" i="18"/>
  <c r="J21" i="18"/>
  <c r="J22" i="18"/>
  <c r="J23" i="18"/>
  <c r="J24" i="18"/>
  <c r="J25" i="18"/>
  <c r="J26" i="18"/>
  <c r="J27" i="18"/>
  <c r="J28" i="18"/>
  <c r="J29" i="18"/>
  <c r="J30" i="18"/>
  <c r="J31" i="18"/>
  <c r="J32" i="18"/>
  <c r="J33" i="18"/>
  <c r="J34" i="18"/>
  <c r="J35" i="18"/>
  <c r="J36" i="18"/>
  <c r="J37" i="18"/>
  <c r="C6" i="18"/>
  <c r="B6" i="18"/>
  <c r="H2" i="18"/>
  <c r="H2" i="17"/>
  <c r="B6" i="17"/>
  <c r="C6" i="17"/>
  <c r="B7" i="17"/>
  <c r="C7" i="17"/>
  <c r="B8" i="17"/>
  <c r="C8" i="17"/>
  <c r="B9" i="17"/>
  <c r="C9" i="17"/>
  <c r="B10" i="17"/>
  <c r="C10" i="17"/>
  <c r="B11" i="17"/>
  <c r="C11" i="17"/>
  <c r="B12" i="17"/>
  <c r="C12" i="17"/>
  <c r="B13" i="17"/>
  <c r="C13" i="17"/>
  <c r="B14" i="17"/>
  <c r="C14" i="17"/>
  <c r="B15" i="17"/>
  <c r="C15" i="17"/>
  <c r="B16" i="17"/>
  <c r="C16" i="17"/>
  <c r="B17" i="17"/>
  <c r="C17" i="17"/>
  <c r="B18" i="17"/>
  <c r="C18" i="17"/>
  <c r="B19" i="17"/>
  <c r="C19" i="17"/>
  <c r="B20" i="17"/>
  <c r="C20" i="17"/>
  <c r="B21" i="17"/>
  <c r="C21" i="17"/>
  <c r="B22" i="17"/>
  <c r="C22" i="17"/>
  <c r="B23" i="17"/>
  <c r="C23" i="17"/>
  <c r="B24" i="17"/>
  <c r="C24" i="17"/>
  <c r="B25" i="17"/>
  <c r="C25" i="17"/>
  <c r="B26" i="17"/>
  <c r="C26" i="17"/>
  <c r="B27" i="17"/>
  <c r="C27" i="17"/>
  <c r="B28" i="17"/>
  <c r="C28" i="17"/>
  <c r="B29" i="17"/>
  <c r="C29" i="17"/>
  <c r="B30" i="17"/>
  <c r="C30" i="17"/>
  <c r="B31" i="17"/>
  <c r="C31" i="17"/>
  <c r="B32" i="17"/>
  <c r="C32" i="17"/>
  <c r="B33" i="17"/>
  <c r="C33" i="17"/>
  <c r="B34" i="17"/>
  <c r="C34" i="17"/>
  <c r="B35" i="17"/>
  <c r="C35" i="17"/>
  <c r="B36" i="17"/>
  <c r="C36" i="17"/>
  <c r="B37" i="17"/>
  <c r="C37" i="17"/>
  <c r="B38" i="17"/>
  <c r="C38" i="17"/>
  <c r="B39" i="17"/>
  <c r="C39" i="17"/>
  <c r="B40" i="17"/>
  <c r="C40" i="17"/>
  <c r="B41" i="17"/>
  <c r="C41" i="17"/>
  <c r="B42" i="17"/>
  <c r="C42" i="17"/>
  <c r="B43" i="17"/>
  <c r="C43" i="17"/>
  <c r="B44" i="17"/>
  <c r="C44" i="17"/>
  <c r="B45" i="17"/>
  <c r="C45" i="17"/>
  <c r="B46" i="17"/>
  <c r="C46" i="17"/>
  <c r="B47" i="17"/>
  <c r="C47" i="17"/>
  <c r="B48" i="17"/>
  <c r="C48" i="17"/>
  <c r="B49" i="17"/>
  <c r="C49" i="17"/>
  <c r="B50" i="17"/>
  <c r="C50" i="17"/>
  <c r="B51" i="17"/>
  <c r="C51" i="17"/>
  <c r="B52" i="17"/>
  <c r="C52" i="17"/>
  <c r="B53" i="17"/>
  <c r="C53" i="17"/>
  <c r="B54" i="17"/>
  <c r="C54" i="17"/>
  <c r="B55" i="17"/>
  <c r="C55" i="17"/>
  <c r="B56" i="17"/>
  <c r="C56" i="17"/>
  <c r="B57" i="17"/>
  <c r="C57" i="17"/>
  <c r="B58" i="17"/>
  <c r="C58" i="17"/>
  <c r="B59" i="17"/>
  <c r="C59" i="17"/>
  <c r="B60" i="17"/>
  <c r="C60" i="17"/>
  <c r="B61" i="17"/>
  <c r="C61" i="17"/>
  <c r="B62" i="17"/>
  <c r="C62" i="17"/>
  <c r="B63" i="17"/>
  <c r="C63" i="17"/>
  <c r="B64" i="17"/>
  <c r="C64" i="17"/>
  <c r="B65" i="17"/>
  <c r="C65" i="17"/>
  <c r="B66" i="17"/>
  <c r="C66" i="17"/>
  <c r="B67" i="17"/>
  <c r="C67" i="17"/>
  <c r="B68" i="17"/>
  <c r="C68" i="17"/>
  <c r="B69" i="17"/>
  <c r="C69" i="17"/>
  <c r="B70" i="17"/>
  <c r="C70" i="17"/>
  <c r="B71" i="17"/>
  <c r="C71" i="17"/>
  <c r="B72" i="17"/>
  <c r="C72" i="17"/>
  <c r="B73" i="17"/>
  <c r="C73" i="17"/>
  <c r="B74" i="17"/>
  <c r="C74" i="17"/>
  <c r="B75" i="17"/>
  <c r="C75" i="17"/>
  <c r="H2" i="3"/>
  <c r="B75" i="3"/>
  <c r="C75" i="3"/>
  <c r="N109" i="2"/>
  <c r="M109" i="2"/>
  <c r="L109" i="2"/>
  <c r="K109" i="2"/>
  <c r="J109" i="2"/>
  <c r="I109" i="2"/>
  <c r="H109" i="2"/>
  <c r="G109" i="2"/>
  <c r="F109" i="2"/>
  <c r="E109" i="2"/>
  <c r="D109" i="2"/>
  <c r="N108" i="2"/>
  <c r="M108" i="2"/>
  <c r="L108" i="2"/>
  <c r="K108" i="2"/>
  <c r="J108" i="2"/>
  <c r="I108" i="2"/>
  <c r="H108" i="2"/>
  <c r="G108" i="2"/>
  <c r="F108" i="2"/>
  <c r="E108" i="2"/>
  <c r="C108" i="2"/>
  <c r="D108" i="2"/>
  <c r="C110" i="2"/>
  <c r="N110" i="2"/>
  <c r="M110" i="2"/>
  <c r="L110" i="2"/>
  <c r="K110" i="2"/>
  <c r="J110" i="2"/>
  <c r="I110" i="2"/>
  <c r="H110" i="2"/>
  <c r="G110" i="2"/>
  <c r="F110" i="2"/>
  <c r="E110" i="2"/>
  <c r="D110" i="2"/>
  <c r="E105" i="2"/>
  <c r="N104" i="2"/>
  <c r="M104" i="2"/>
  <c r="L104" i="2"/>
  <c r="K104" i="2"/>
  <c r="J104" i="2"/>
  <c r="I104" i="2"/>
  <c r="I111" i="2" s="1"/>
  <c r="H104" i="2"/>
  <c r="G104" i="2"/>
  <c r="F104" i="2"/>
  <c r="E104" i="2"/>
  <c r="D105" i="2"/>
  <c r="C105" i="2"/>
  <c r="L6" i="3"/>
  <c r="L7" i="3" s="1"/>
  <c r="L8" i="3" s="1"/>
  <c r="L9" i="3" s="1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 s="1"/>
  <c r="K6" i="3"/>
  <c r="K7" i="3" s="1"/>
  <c r="K8" i="3" s="1"/>
  <c r="K9" i="3" s="1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 s="1"/>
  <c r="J6" i="3"/>
  <c r="J7" i="3" s="1"/>
  <c r="J8" i="3" s="1"/>
  <c r="J9" i="3" s="1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 s="1"/>
  <c r="D104" i="2"/>
  <c r="C104" i="2"/>
  <c r="K2" i="25"/>
  <c r="C2" i="16"/>
  <c r="I2" i="15"/>
  <c r="I2" i="2"/>
  <c r="D107" i="2"/>
  <c r="D111" i="2" s="1"/>
  <c r="E107" i="2"/>
  <c r="F107" i="2"/>
  <c r="G107" i="2"/>
  <c r="H107" i="2"/>
  <c r="I107" i="2"/>
  <c r="J107" i="2"/>
  <c r="K107" i="2"/>
  <c r="L107" i="2"/>
  <c r="M107" i="2"/>
  <c r="N107" i="2"/>
  <c r="C107" i="2"/>
  <c r="B6" i="3"/>
  <c r="C6" i="3"/>
  <c r="B7" i="3"/>
  <c r="C7" i="3"/>
  <c r="B8" i="3"/>
  <c r="C8" i="3"/>
  <c r="B9" i="3"/>
  <c r="C9" i="3"/>
  <c r="B10" i="3"/>
  <c r="C10" i="3"/>
  <c r="B11" i="3"/>
  <c r="C11" i="3"/>
  <c r="B12" i="3"/>
  <c r="C12" i="3"/>
  <c r="B13" i="3"/>
  <c r="C13" i="3"/>
  <c r="B14" i="3"/>
  <c r="C14" i="3"/>
  <c r="B15" i="3"/>
  <c r="C15" i="3"/>
  <c r="B16" i="3"/>
  <c r="C16" i="3"/>
  <c r="B17" i="3"/>
  <c r="C17" i="3"/>
  <c r="B18" i="3"/>
  <c r="C18" i="3"/>
  <c r="B19" i="3"/>
  <c r="C19" i="3"/>
  <c r="B20" i="3"/>
  <c r="C20" i="3"/>
  <c r="B21" i="3"/>
  <c r="C21" i="3"/>
  <c r="B22" i="3"/>
  <c r="C22" i="3"/>
  <c r="B23" i="3"/>
  <c r="C23" i="3"/>
  <c r="B24" i="3"/>
  <c r="C24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2" i="3"/>
  <c r="C42" i="3"/>
  <c r="B43" i="3"/>
  <c r="C43" i="3"/>
  <c r="B44" i="3"/>
  <c r="C44" i="3"/>
  <c r="B45" i="3"/>
  <c r="C45" i="3"/>
  <c r="B46" i="3"/>
  <c r="C46" i="3"/>
  <c r="B47" i="3"/>
  <c r="C47" i="3"/>
  <c r="B48" i="3"/>
  <c r="C48" i="3"/>
  <c r="B49" i="3"/>
  <c r="C49" i="3"/>
  <c r="B50" i="3"/>
  <c r="C50" i="3"/>
  <c r="B51" i="3"/>
  <c r="C51" i="3"/>
  <c r="B52" i="3"/>
  <c r="C52" i="3"/>
  <c r="B53" i="3"/>
  <c r="C53" i="3"/>
  <c r="B54" i="3"/>
  <c r="C54" i="3"/>
  <c r="B55" i="3"/>
  <c r="C55" i="3"/>
  <c r="B56" i="3"/>
  <c r="C56" i="3"/>
  <c r="B57" i="3"/>
  <c r="C57" i="3"/>
  <c r="B58" i="3"/>
  <c r="C58" i="3"/>
  <c r="B59" i="3"/>
  <c r="C59" i="3"/>
  <c r="B60" i="3"/>
  <c r="C60" i="3"/>
  <c r="B61" i="3"/>
  <c r="C61" i="3"/>
  <c r="B62" i="3"/>
  <c r="C62" i="3"/>
  <c r="B63" i="3"/>
  <c r="C63" i="3"/>
  <c r="B64" i="3"/>
  <c r="C64" i="3"/>
  <c r="B65" i="3"/>
  <c r="C65" i="3"/>
  <c r="B66" i="3"/>
  <c r="C66" i="3"/>
  <c r="B67" i="3"/>
  <c r="C67" i="3"/>
  <c r="B68" i="3"/>
  <c r="C68" i="3"/>
  <c r="B69" i="3"/>
  <c r="C69" i="3"/>
  <c r="B70" i="3"/>
  <c r="C70" i="3"/>
  <c r="B71" i="3"/>
  <c r="C71" i="3"/>
  <c r="B72" i="3"/>
  <c r="C72" i="3"/>
  <c r="B73" i="3"/>
  <c r="C73" i="3"/>
  <c r="B74" i="3"/>
  <c r="C74" i="3"/>
  <c r="E41" i="2"/>
  <c r="E63" i="2"/>
  <c r="N50" i="2"/>
  <c r="M50" i="2"/>
  <c r="L50" i="2"/>
  <c r="K50" i="2"/>
  <c r="J50" i="2"/>
  <c r="I50" i="2"/>
  <c r="H50" i="2"/>
  <c r="F50" i="2"/>
  <c r="E50" i="2"/>
  <c r="C7" i="2"/>
  <c r="J97" i="15"/>
  <c r="D128" i="16"/>
  <c r="N97" i="15"/>
  <c r="D192" i="16" s="1"/>
  <c r="C70" i="15"/>
  <c r="N77" i="2"/>
  <c r="M77" i="2"/>
  <c r="L77" i="2"/>
  <c r="K77" i="2"/>
  <c r="N76" i="2"/>
  <c r="M76" i="2"/>
  <c r="L76" i="2"/>
  <c r="K76" i="2"/>
  <c r="N75" i="2"/>
  <c r="M75" i="2"/>
  <c r="L75" i="2"/>
  <c r="K75" i="2"/>
  <c r="N74" i="2"/>
  <c r="M74" i="2"/>
  <c r="L74" i="2"/>
  <c r="K74" i="2"/>
  <c r="N73" i="2"/>
  <c r="M73" i="2"/>
  <c r="L73" i="2"/>
  <c r="K73" i="2"/>
  <c r="K70" i="2" s="1"/>
  <c r="K97" i="2" s="1"/>
  <c r="C144" i="16" s="1"/>
  <c r="N72" i="2"/>
  <c r="N70" i="2" s="1"/>
  <c r="N97" i="2" s="1"/>
  <c r="C192" i="16" s="1"/>
  <c r="M72" i="2"/>
  <c r="L72" i="2"/>
  <c r="K72" i="2"/>
  <c r="J77" i="2"/>
  <c r="J76" i="2"/>
  <c r="J75" i="2"/>
  <c r="J74" i="2"/>
  <c r="J73" i="2"/>
  <c r="J72" i="2"/>
  <c r="I77" i="2"/>
  <c r="I76" i="2"/>
  <c r="I75" i="2"/>
  <c r="I74" i="2"/>
  <c r="I73" i="2"/>
  <c r="I72" i="2"/>
  <c r="H77" i="2"/>
  <c r="H76" i="2"/>
  <c r="H75" i="2"/>
  <c r="H74" i="2"/>
  <c r="H73" i="2"/>
  <c r="H72" i="2"/>
  <c r="G77" i="2"/>
  <c r="G76" i="2"/>
  <c r="G75" i="2"/>
  <c r="G74" i="2"/>
  <c r="G73" i="2"/>
  <c r="G72" i="2"/>
  <c r="F77" i="2"/>
  <c r="F76" i="2"/>
  <c r="F75" i="2"/>
  <c r="F74" i="2"/>
  <c r="F73" i="2"/>
  <c r="F72" i="2"/>
  <c r="E77" i="2"/>
  <c r="E76" i="2"/>
  <c r="E75" i="2"/>
  <c r="E74" i="2"/>
  <c r="E73" i="2"/>
  <c r="E72" i="2"/>
  <c r="N71" i="2"/>
  <c r="M71" i="2"/>
  <c r="L71" i="2"/>
  <c r="K71" i="2"/>
  <c r="J71" i="2"/>
  <c r="I71" i="2"/>
  <c r="H71" i="2"/>
  <c r="G71" i="2"/>
  <c r="F71" i="2"/>
  <c r="E71" i="2"/>
  <c r="N69" i="2"/>
  <c r="N68" i="2"/>
  <c r="N67" i="2"/>
  <c r="N66" i="2"/>
  <c r="M69" i="2"/>
  <c r="M68" i="2"/>
  <c r="M67" i="2"/>
  <c r="M66" i="2"/>
  <c r="L69" i="2"/>
  <c r="L68" i="2"/>
  <c r="L67" i="2"/>
  <c r="L66" i="2"/>
  <c r="K69" i="2"/>
  <c r="K68" i="2"/>
  <c r="K67" i="2"/>
  <c r="K66" i="2"/>
  <c r="J69" i="2"/>
  <c r="J68" i="2"/>
  <c r="J67" i="2"/>
  <c r="J66" i="2"/>
  <c r="I69" i="2"/>
  <c r="I68" i="2"/>
  <c r="I67" i="2"/>
  <c r="I66" i="2"/>
  <c r="H69" i="2"/>
  <c r="H68" i="2"/>
  <c r="H67" i="2"/>
  <c r="H66" i="2"/>
  <c r="G69" i="2"/>
  <c r="G68" i="2"/>
  <c r="G67" i="2"/>
  <c r="G66" i="2"/>
  <c r="F69" i="2"/>
  <c r="F68" i="2"/>
  <c r="F67" i="2"/>
  <c r="F66" i="2"/>
  <c r="E69" i="2"/>
  <c r="E68" i="2"/>
  <c r="E67" i="2"/>
  <c r="E64" i="2" s="1"/>
  <c r="E96" i="2" s="1"/>
  <c r="C47" i="16" s="1"/>
  <c r="E66" i="2"/>
  <c r="N65" i="2"/>
  <c r="M65" i="2"/>
  <c r="L65" i="2"/>
  <c r="K65" i="2"/>
  <c r="J65" i="2"/>
  <c r="I65" i="2"/>
  <c r="I64" i="2" s="1"/>
  <c r="I96" i="2" s="1"/>
  <c r="C111" i="16" s="1"/>
  <c r="H65" i="2"/>
  <c r="G65" i="2"/>
  <c r="F65" i="2"/>
  <c r="E65" i="2"/>
  <c r="N63" i="2"/>
  <c r="N62" i="2"/>
  <c r="M63" i="2"/>
  <c r="M62" i="2"/>
  <c r="L63" i="2"/>
  <c r="L62" i="2"/>
  <c r="K63" i="2"/>
  <c r="K62" i="2"/>
  <c r="J63" i="2"/>
  <c r="J62" i="2"/>
  <c r="I63" i="2"/>
  <c r="I62" i="2"/>
  <c r="H63" i="2"/>
  <c r="H62" i="2"/>
  <c r="G63" i="2"/>
  <c r="G62" i="2"/>
  <c r="F63" i="2"/>
  <c r="F62" i="2"/>
  <c r="E62" i="2"/>
  <c r="N61" i="2"/>
  <c r="N60" i="2"/>
  <c r="M61" i="2"/>
  <c r="L61" i="2"/>
  <c r="K61" i="2"/>
  <c r="J61" i="2"/>
  <c r="I61" i="2"/>
  <c r="H61" i="2"/>
  <c r="G61" i="2"/>
  <c r="F61" i="2"/>
  <c r="E61" i="2"/>
  <c r="G60" i="2"/>
  <c r="G58" i="2"/>
  <c r="G57" i="2"/>
  <c r="G56" i="2"/>
  <c r="G55" i="2"/>
  <c r="G54" i="2"/>
  <c r="G53" i="2"/>
  <c r="G52" i="2"/>
  <c r="G51" i="2"/>
  <c r="G50" i="2"/>
  <c r="M60" i="2"/>
  <c r="L60" i="2"/>
  <c r="L59" i="2" s="1"/>
  <c r="L95" i="2" s="1"/>
  <c r="C158" i="16" s="1"/>
  <c r="K60" i="2"/>
  <c r="J60" i="2"/>
  <c r="I60" i="2"/>
  <c r="H60" i="2"/>
  <c r="F60" i="2"/>
  <c r="E60" i="2"/>
  <c r="N58" i="2"/>
  <c r="N57" i="2"/>
  <c r="N56" i="2"/>
  <c r="N55" i="2"/>
  <c r="N54" i="2"/>
  <c r="N53" i="2"/>
  <c r="N52" i="2"/>
  <c r="N51" i="2"/>
  <c r="M58" i="2"/>
  <c r="M57" i="2"/>
  <c r="M56" i="2"/>
  <c r="M55" i="2"/>
  <c r="M54" i="2"/>
  <c r="M53" i="2"/>
  <c r="M52" i="2"/>
  <c r="M51" i="2"/>
  <c r="L58" i="2"/>
  <c r="L57" i="2"/>
  <c r="L56" i="2"/>
  <c r="L55" i="2"/>
  <c r="L54" i="2"/>
  <c r="L53" i="2"/>
  <c r="L52" i="2"/>
  <c r="L51" i="2"/>
  <c r="K58" i="2"/>
  <c r="K57" i="2"/>
  <c r="K56" i="2"/>
  <c r="K55" i="2"/>
  <c r="K54" i="2"/>
  <c r="K53" i="2"/>
  <c r="K52" i="2"/>
  <c r="K51" i="2"/>
  <c r="J58" i="2"/>
  <c r="J57" i="2"/>
  <c r="J56" i="2"/>
  <c r="J55" i="2"/>
  <c r="J54" i="2"/>
  <c r="J53" i="2"/>
  <c r="J52" i="2"/>
  <c r="J51" i="2"/>
  <c r="I58" i="2"/>
  <c r="I57" i="2"/>
  <c r="I56" i="2"/>
  <c r="I55" i="2"/>
  <c r="I54" i="2"/>
  <c r="I53" i="2"/>
  <c r="I52" i="2"/>
  <c r="I51" i="2"/>
  <c r="H58" i="2"/>
  <c r="H57" i="2"/>
  <c r="H56" i="2"/>
  <c r="H55" i="2"/>
  <c r="H54" i="2"/>
  <c r="H53" i="2"/>
  <c r="H52" i="2"/>
  <c r="H51" i="2"/>
  <c r="F58" i="2"/>
  <c r="F57" i="2"/>
  <c r="F56" i="2"/>
  <c r="F55" i="2"/>
  <c r="F54" i="2"/>
  <c r="F53" i="2"/>
  <c r="F52" i="2"/>
  <c r="F51" i="2"/>
  <c r="E58" i="2"/>
  <c r="E57" i="2"/>
  <c r="E56" i="2"/>
  <c r="E55" i="2"/>
  <c r="E54" i="2"/>
  <c r="E53" i="2"/>
  <c r="E52" i="2"/>
  <c r="E51" i="2"/>
  <c r="N48" i="2"/>
  <c r="N47" i="2"/>
  <c r="N46" i="2"/>
  <c r="N45" i="2"/>
  <c r="N44" i="2"/>
  <c r="M48" i="2"/>
  <c r="M42" i="2" s="1"/>
  <c r="M93" i="2" s="1"/>
  <c r="C172" i="16" s="1"/>
  <c r="M47" i="2"/>
  <c r="M46" i="2"/>
  <c r="M45" i="2"/>
  <c r="M44" i="2"/>
  <c r="L48" i="2"/>
  <c r="L47" i="2"/>
  <c r="L46" i="2"/>
  <c r="L45" i="2"/>
  <c r="L44" i="2"/>
  <c r="K48" i="2"/>
  <c r="K47" i="2"/>
  <c r="K46" i="2"/>
  <c r="K42" i="2" s="1"/>
  <c r="K93" i="2" s="1"/>
  <c r="C140" i="16" s="1"/>
  <c r="K45" i="2"/>
  <c r="K44" i="2"/>
  <c r="J48" i="2"/>
  <c r="J47" i="2"/>
  <c r="J46" i="2"/>
  <c r="J45" i="2"/>
  <c r="J44" i="2"/>
  <c r="J43" i="2"/>
  <c r="I48" i="2"/>
  <c r="I47" i="2"/>
  <c r="I46" i="2"/>
  <c r="I45" i="2"/>
  <c r="I44" i="2"/>
  <c r="H48" i="2"/>
  <c r="H47" i="2"/>
  <c r="H46" i="2"/>
  <c r="H45" i="2"/>
  <c r="H44" i="2"/>
  <c r="G48" i="2"/>
  <c r="G47" i="2"/>
  <c r="G46" i="2"/>
  <c r="G45" i="2"/>
  <c r="G44" i="2"/>
  <c r="F48" i="2"/>
  <c r="E48" i="2"/>
  <c r="E47" i="2"/>
  <c r="E46" i="2"/>
  <c r="F47" i="2"/>
  <c r="F46" i="2"/>
  <c r="F45" i="2"/>
  <c r="F44" i="2"/>
  <c r="E45" i="2"/>
  <c r="E44" i="2"/>
  <c r="N43" i="2"/>
  <c r="M43" i="2"/>
  <c r="L43" i="2"/>
  <c r="K43" i="2"/>
  <c r="I43" i="2"/>
  <c r="H43" i="2"/>
  <c r="G43" i="2"/>
  <c r="F43" i="2"/>
  <c r="E43" i="2"/>
  <c r="N41" i="2"/>
  <c r="N40" i="2"/>
  <c r="N39" i="2"/>
  <c r="M41" i="2"/>
  <c r="M40" i="2"/>
  <c r="M39" i="2"/>
  <c r="L41" i="2"/>
  <c r="L40" i="2"/>
  <c r="L39" i="2"/>
  <c r="K41" i="2"/>
  <c r="K40" i="2"/>
  <c r="K39" i="2"/>
  <c r="J41" i="2"/>
  <c r="J40" i="2"/>
  <c r="J39" i="2"/>
  <c r="I41" i="2"/>
  <c r="I40" i="2"/>
  <c r="I39" i="2"/>
  <c r="H41" i="2"/>
  <c r="H40" i="2"/>
  <c r="H39" i="2"/>
  <c r="G41" i="2"/>
  <c r="G40" i="2"/>
  <c r="G39" i="2"/>
  <c r="F41" i="2"/>
  <c r="F40" i="2"/>
  <c r="F39" i="2"/>
  <c r="E40" i="2"/>
  <c r="E39" i="2"/>
  <c r="N38" i="2"/>
  <c r="M38" i="2"/>
  <c r="L38" i="2"/>
  <c r="K38" i="2"/>
  <c r="J38" i="2"/>
  <c r="I38" i="2"/>
  <c r="H38" i="2"/>
  <c r="G38" i="2"/>
  <c r="F38" i="2"/>
  <c r="E38" i="2"/>
  <c r="N36" i="2"/>
  <c r="N35" i="2"/>
  <c r="N34" i="2"/>
  <c r="N33" i="2"/>
  <c r="M36" i="2"/>
  <c r="M35" i="2"/>
  <c r="M34" i="2"/>
  <c r="M33" i="2"/>
  <c r="L36" i="2"/>
  <c r="L35" i="2"/>
  <c r="L34" i="2"/>
  <c r="L33" i="2"/>
  <c r="K36" i="2"/>
  <c r="K35" i="2"/>
  <c r="K34" i="2"/>
  <c r="K33" i="2"/>
  <c r="J36" i="2"/>
  <c r="J35" i="2"/>
  <c r="J34" i="2"/>
  <c r="J33" i="2"/>
  <c r="I36" i="2"/>
  <c r="I35" i="2"/>
  <c r="I34" i="2"/>
  <c r="I33" i="2"/>
  <c r="H36" i="2"/>
  <c r="H35" i="2"/>
  <c r="H34" i="2"/>
  <c r="H33" i="2"/>
  <c r="G36" i="2"/>
  <c r="G35" i="2"/>
  <c r="G34" i="2"/>
  <c r="G33" i="2"/>
  <c r="F36" i="2"/>
  <c r="F35" i="2"/>
  <c r="F34" i="2"/>
  <c r="F33" i="2"/>
  <c r="E36" i="2"/>
  <c r="E35" i="2"/>
  <c r="E32" i="2" s="1"/>
  <c r="E91" i="2" s="1"/>
  <c r="C42" i="16" s="1"/>
  <c r="E34" i="2"/>
  <c r="E33" i="2"/>
  <c r="N28" i="2"/>
  <c r="N27" i="2"/>
  <c r="N26" i="2"/>
  <c r="N25" i="2"/>
  <c r="N24" i="2"/>
  <c r="N23" i="2"/>
  <c r="N22" i="2"/>
  <c r="N21" i="2"/>
  <c r="M28" i="2"/>
  <c r="M27" i="2"/>
  <c r="M26" i="2"/>
  <c r="M25" i="2"/>
  <c r="M24" i="2"/>
  <c r="M23" i="2"/>
  <c r="M22" i="2"/>
  <c r="M21" i="2"/>
  <c r="L28" i="2"/>
  <c r="L27" i="2"/>
  <c r="L26" i="2"/>
  <c r="L25" i="2"/>
  <c r="L24" i="2"/>
  <c r="L23" i="2"/>
  <c r="L22" i="2"/>
  <c r="L21" i="2"/>
  <c r="K28" i="2"/>
  <c r="K27" i="2"/>
  <c r="K26" i="2"/>
  <c r="K25" i="2"/>
  <c r="K24" i="2"/>
  <c r="K23" i="2"/>
  <c r="K22" i="2"/>
  <c r="K21" i="2"/>
  <c r="J28" i="2"/>
  <c r="J27" i="2"/>
  <c r="J26" i="2"/>
  <c r="J25" i="2"/>
  <c r="J24" i="2"/>
  <c r="J23" i="2"/>
  <c r="J22" i="2"/>
  <c r="J21" i="2"/>
  <c r="I28" i="2"/>
  <c r="I27" i="2"/>
  <c r="I26" i="2"/>
  <c r="I25" i="2"/>
  <c r="I24" i="2"/>
  <c r="I23" i="2"/>
  <c r="I22" i="2"/>
  <c r="I21" i="2"/>
  <c r="H28" i="2"/>
  <c r="H27" i="2"/>
  <c r="H26" i="2"/>
  <c r="H25" i="2"/>
  <c r="H24" i="2"/>
  <c r="H23" i="2"/>
  <c r="H22" i="2"/>
  <c r="H21" i="2"/>
  <c r="G28" i="2"/>
  <c r="G27" i="2"/>
  <c r="G26" i="2"/>
  <c r="G25" i="2"/>
  <c r="G24" i="2"/>
  <c r="G23" i="2"/>
  <c r="G22" i="2"/>
  <c r="G21" i="2"/>
  <c r="F28" i="2"/>
  <c r="F27" i="2"/>
  <c r="F26" i="2"/>
  <c r="F25" i="2"/>
  <c r="F24" i="2"/>
  <c r="F23" i="2"/>
  <c r="F22" i="2"/>
  <c r="F21" i="2"/>
  <c r="E28" i="2"/>
  <c r="E27" i="2"/>
  <c r="E26" i="2"/>
  <c r="E25" i="2"/>
  <c r="E24" i="2"/>
  <c r="O24" i="2" s="1"/>
  <c r="E23" i="2"/>
  <c r="E22" i="2"/>
  <c r="E21" i="2"/>
  <c r="N20" i="2"/>
  <c r="M20" i="2"/>
  <c r="L20" i="2"/>
  <c r="K20" i="2"/>
  <c r="J20" i="2"/>
  <c r="I20" i="2"/>
  <c r="H20" i="2"/>
  <c r="G20" i="2"/>
  <c r="F20" i="2"/>
  <c r="E20" i="2"/>
  <c r="D20" i="2"/>
  <c r="N18" i="2"/>
  <c r="N17" i="2"/>
  <c r="N16" i="2"/>
  <c r="N15" i="2"/>
  <c r="N14" i="2"/>
  <c r="M18" i="2"/>
  <c r="M17" i="2"/>
  <c r="M16" i="2"/>
  <c r="M15" i="2"/>
  <c r="M14" i="2"/>
  <c r="L18" i="2"/>
  <c r="L17" i="2"/>
  <c r="L16" i="2"/>
  <c r="L15" i="2"/>
  <c r="L14" i="2"/>
  <c r="K18" i="2"/>
  <c r="K17" i="2"/>
  <c r="K16" i="2"/>
  <c r="K15" i="2"/>
  <c r="K14" i="2"/>
  <c r="J18" i="2"/>
  <c r="J17" i="2"/>
  <c r="J13" i="2" s="1"/>
  <c r="J89" i="2" s="1"/>
  <c r="C120" i="16" s="1"/>
  <c r="J16" i="2"/>
  <c r="J15" i="2"/>
  <c r="J14" i="2"/>
  <c r="I18" i="2"/>
  <c r="I17" i="2"/>
  <c r="I16" i="2"/>
  <c r="I15" i="2"/>
  <c r="I14" i="2"/>
  <c r="H18" i="2"/>
  <c r="H17" i="2"/>
  <c r="H16" i="2"/>
  <c r="H15" i="2"/>
  <c r="H14" i="2"/>
  <c r="G18" i="2"/>
  <c r="G17" i="2"/>
  <c r="G16" i="2"/>
  <c r="G15" i="2"/>
  <c r="G14" i="2"/>
  <c r="F15" i="2"/>
  <c r="F14" i="2"/>
  <c r="F16" i="2"/>
  <c r="F17" i="2"/>
  <c r="F18" i="2"/>
  <c r="E18" i="2"/>
  <c r="E17" i="2"/>
  <c r="E16" i="2"/>
  <c r="E15" i="2"/>
  <c r="E14" i="2"/>
  <c r="N9" i="2"/>
  <c r="N8" i="2"/>
  <c r="N7" i="2"/>
  <c r="N6" i="2"/>
  <c r="N5" i="2"/>
  <c r="M9" i="2"/>
  <c r="M8" i="2"/>
  <c r="M7" i="2"/>
  <c r="M6" i="2"/>
  <c r="M5" i="2"/>
  <c r="L9" i="2"/>
  <c r="L8" i="2"/>
  <c r="L7" i="2"/>
  <c r="L6" i="2"/>
  <c r="L5" i="2"/>
  <c r="L10" i="2" s="1"/>
  <c r="L86" i="2" s="1"/>
  <c r="K9" i="2"/>
  <c r="K8" i="2"/>
  <c r="K7" i="2"/>
  <c r="K6" i="2"/>
  <c r="K5" i="2"/>
  <c r="J9" i="2"/>
  <c r="J8" i="2"/>
  <c r="J7" i="2"/>
  <c r="J6" i="2"/>
  <c r="J5" i="2"/>
  <c r="I9" i="2"/>
  <c r="I8" i="2"/>
  <c r="I7" i="2"/>
  <c r="I6" i="2"/>
  <c r="I5" i="2"/>
  <c r="H9" i="2"/>
  <c r="H8" i="2"/>
  <c r="O8" i="2" s="1"/>
  <c r="H7" i="2"/>
  <c r="H6" i="2"/>
  <c r="H5" i="2"/>
  <c r="H4" i="2"/>
  <c r="G9" i="2"/>
  <c r="G8" i="2"/>
  <c r="G7" i="2"/>
  <c r="G6" i="2"/>
  <c r="G5" i="2"/>
  <c r="F9" i="2"/>
  <c r="F8" i="2"/>
  <c r="F7" i="2"/>
  <c r="F6" i="2"/>
  <c r="F5" i="2"/>
  <c r="E9" i="2"/>
  <c r="E8" i="2"/>
  <c r="E7" i="2"/>
  <c r="E6" i="2"/>
  <c r="E5" i="2"/>
  <c r="N4" i="2"/>
  <c r="M4" i="2"/>
  <c r="L4" i="2"/>
  <c r="K4" i="2"/>
  <c r="J4" i="2"/>
  <c r="I4" i="2"/>
  <c r="G4" i="2"/>
  <c r="F4" i="2"/>
  <c r="E4" i="2"/>
  <c r="D9" i="2"/>
  <c r="D8" i="2"/>
  <c r="D7" i="2"/>
  <c r="D6" i="2"/>
  <c r="D4" i="2"/>
  <c r="D5" i="2"/>
  <c r="D77" i="2"/>
  <c r="D76" i="2"/>
  <c r="D75" i="2"/>
  <c r="D74" i="2"/>
  <c r="D73" i="2"/>
  <c r="D72" i="2"/>
  <c r="D71" i="2"/>
  <c r="D69" i="2"/>
  <c r="D68" i="2"/>
  <c r="D67" i="2"/>
  <c r="D66" i="2"/>
  <c r="D65" i="2"/>
  <c r="D63" i="2"/>
  <c r="D62" i="2"/>
  <c r="D61" i="2"/>
  <c r="D60" i="2"/>
  <c r="D58" i="2"/>
  <c r="D57" i="2"/>
  <c r="O57" i="2" s="1"/>
  <c r="D56" i="2"/>
  <c r="D55" i="2"/>
  <c r="D54" i="2"/>
  <c r="D53" i="2"/>
  <c r="D52" i="2"/>
  <c r="D51" i="2"/>
  <c r="D50" i="2"/>
  <c r="D48" i="2"/>
  <c r="D47" i="2"/>
  <c r="D46" i="2"/>
  <c r="D45" i="2"/>
  <c r="D44" i="2"/>
  <c r="D43" i="2"/>
  <c r="D41" i="2"/>
  <c r="D40" i="2"/>
  <c r="D39" i="2"/>
  <c r="D38" i="2"/>
  <c r="D36" i="2"/>
  <c r="D35" i="2"/>
  <c r="D32" i="2" s="1"/>
  <c r="D91" i="2" s="1"/>
  <c r="C26" i="16" s="1"/>
  <c r="D34" i="2"/>
  <c r="D33" i="2"/>
  <c r="D28" i="2"/>
  <c r="D27" i="2"/>
  <c r="D26" i="2"/>
  <c r="D25" i="2"/>
  <c r="D23" i="2"/>
  <c r="D24" i="2"/>
  <c r="D22" i="2"/>
  <c r="D21" i="2"/>
  <c r="D18" i="2"/>
  <c r="D17" i="2"/>
  <c r="D16" i="2"/>
  <c r="D15" i="2"/>
  <c r="D14" i="2"/>
  <c r="O5" i="15"/>
  <c r="O6" i="15"/>
  <c r="O7" i="15"/>
  <c r="O8" i="15"/>
  <c r="O9" i="15"/>
  <c r="O4" i="15"/>
  <c r="O72" i="15"/>
  <c r="O73" i="15"/>
  <c r="O74" i="15"/>
  <c r="O75" i="15"/>
  <c r="O76" i="15"/>
  <c r="O77" i="15"/>
  <c r="O71" i="15"/>
  <c r="O66" i="15"/>
  <c r="O67" i="15"/>
  <c r="O68" i="15"/>
  <c r="O69" i="15"/>
  <c r="O53" i="15"/>
  <c r="O54" i="15"/>
  <c r="O55" i="15"/>
  <c r="O56" i="15"/>
  <c r="O57" i="15"/>
  <c r="O50" i="15"/>
  <c r="O51" i="15"/>
  <c r="O48" i="15"/>
  <c r="O44" i="15"/>
  <c r="O45" i="15"/>
  <c r="O46" i="15"/>
  <c r="O47" i="15"/>
  <c r="O108" i="15"/>
  <c r="O107" i="15"/>
  <c r="O105" i="15"/>
  <c r="O36" i="15"/>
  <c r="O28" i="15"/>
  <c r="O18" i="15"/>
  <c r="G86" i="15"/>
  <c r="D69" i="16" s="1"/>
  <c r="H104" i="15"/>
  <c r="L104" i="15"/>
  <c r="E104" i="15"/>
  <c r="O65" i="15"/>
  <c r="N96" i="15"/>
  <c r="D191" i="16" s="1"/>
  <c r="M96" i="15"/>
  <c r="D175" i="16" s="1"/>
  <c r="L96" i="15"/>
  <c r="D159" i="16"/>
  <c r="K96" i="15"/>
  <c r="D143" i="16" s="1"/>
  <c r="J96" i="15"/>
  <c r="D127" i="16"/>
  <c r="I96" i="15"/>
  <c r="D111" i="16" s="1"/>
  <c r="H96" i="15"/>
  <c r="D95" i="16" s="1"/>
  <c r="F96" i="15"/>
  <c r="D63" i="16" s="1"/>
  <c r="E96" i="15"/>
  <c r="D47" i="16" s="1"/>
  <c r="D96" i="15"/>
  <c r="D31" i="16"/>
  <c r="C64" i="15"/>
  <c r="C96" i="15" s="1"/>
  <c r="D15" i="16" s="1"/>
  <c r="O63" i="15"/>
  <c r="M95" i="15"/>
  <c r="D174" i="16" s="1"/>
  <c r="L95" i="15"/>
  <c r="K95" i="15"/>
  <c r="D142" i="16"/>
  <c r="J95" i="15"/>
  <c r="D126" i="16" s="1"/>
  <c r="I95" i="15"/>
  <c r="D110" i="16" s="1"/>
  <c r="H95" i="15"/>
  <c r="D94" i="16" s="1"/>
  <c r="G95" i="15"/>
  <c r="D78" i="16"/>
  <c r="F95" i="15"/>
  <c r="D62" i="16" s="1"/>
  <c r="E95" i="15"/>
  <c r="D46" i="16"/>
  <c r="D95" i="15"/>
  <c r="D30" i="16" s="1"/>
  <c r="C59" i="15"/>
  <c r="C95" i="15"/>
  <c r="D14" i="16" s="1"/>
  <c r="D94" i="15"/>
  <c r="D29" i="16" s="1"/>
  <c r="N94" i="15"/>
  <c r="D189" i="16" s="1"/>
  <c r="M94" i="15"/>
  <c r="D173" i="16" s="1"/>
  <c r="L94" i="15"/>
  <c r="D157" i="16"/>
  <c r="K94" i="15"/>
  <c r="D141" i="16" s="1"/>
  <c r="J94" i="15"/>
  <c r="D125" i="16"/>
  <c r="I94" i="15"/>
  <c r="D109" i="16" s="1"/>
  <c r="H94" i="15"/>
  <c r="D93" i="16"/>
  <c r="G94" i="15"/>
  <c r="D77" i="16" s="1"/>
  <c r="C49" i="15"/>
  <c r="C94" i="15" s="1"/>
  <c r="F93" i="15"/>
  <c r="D60" i="16" s="1"/>
  <c r="O43" i="15"/>
  <c r="N93" i="15"/>
  <c r="D188" i="16"/>
  <c r="M93" i="15"/>
  <c r="D172" i="16" s="1"/>
  <c r="K93" i="15"/>
  <c r="D140" i="16" s="1"/>
  <c r="J93" i="15"/>
  <c r="D124" i="16"/>
  <c r="I93" i="15"/>
  <c r="D108" i="16" s="1"/>
  <c r="D92" i="16"/>
  <c r="G93" i="15"/>
  <c r="D76" i="16" s="1"/>
  <c r="E93" i="15"/>
  <c r="D44" i="16" s="1"/>
  <c r="D93" i="15"/>
  <c r="D28" i="16" s="1"/>
  <c r="C42" i="15"/>
  <c r="C93" i="15"/>
  <c r="D12" i="16" s="1"/>
  <c r="J92" i="15"/>
  <c r="D123" i="16" s="1"/>
  <c r="O38" i="15"/>
  <c r="N92" i="15"/>
  <c r="D187" i="16" s="1"/>
  <c r="M92" i="15"/>
  <c r="D171" i="16" s="1"/>
  <c r="L92" i="15"/>
  <c r="D155" i="16" s="1"/>
  <c r="I92" i="15"/>
  <c r="D107" i="16" s="1"/>
  <c r="H92" i="15"/>
  <c r="D91" i="16" s="1"/>
  <c r="F92" i="15"/>
  <c r="D59" i="16"/>
  <c r="E92" i="15"/>
  <c r="D43" i="16" s="1"/>
  <c r="D92" i="15"/>
  <c r="D27" i="16"/>
  <c r="C37" i="15"/>
  <c r="C92" i="15" s="1"/>
  <c r="O35" i="15"/>
  <c r="M91" i="15"/>
  <c r="D170" i="16" s="1"/>
  <c r="L91" i="15"/>
  <c r="D154" i="16"/>
  <c r="K91" i="15"/>
  <c r="D138" i="16" s="1"/>
  <c r="I91" i="15"/>
  <c r="D106" i="16" s="1"/>
  <c r="H91" i="15"/>
  <c r="D90" i="16"/>
  <c r="G91" i="15"/>
  <c r="D74" i="16" s="1"/>
  <c r="E91" i="15"/>
  <c r="D42" i="16" s="1"/>
  <c r="D91" i="15"/>
  <c r="C32" i="15"/>
  <c r="C91" i="15" s="1"/>
  <c r="O26" i="15"/>
  <c r="G90" i="15"/>
  <c r="O21" i="15"/>
  <c r="F90" i="15"/>
  <c r="D57" i="16" s="1"/>
  <c r="N90" i="15"/>
  <c r="D185" i="16" s="1"/>
  <c r="L90" i="15"/>
  <c r="D153" i="16"/>
  <c r="K90" i="15"/>
  <c r="D137" i="16" s="1"/>
  <c r="J90" i="15"/>
  <c r="D121" i="16" s="1"/>
  <c r="H90" i="15"/>
  <c r="D89" i="16" s="1"/>
  <c r="D90" i="15"/>
  <c r="C90" i="15"/>
  <c r="D9" i="16"/>
  <c r="O17" i="15"/>
  <c r="J89" i="15"/>
  <c r="D120" i="16" s="1"/>
  <c r="G89" i="15"/>
  <c r="D72" i="16" s="1"/>
  <c r="F89" i="15"/>
  <c r="C13" i="15"/>
  <c r="C89" i="15"/>
  <c r="D8" i="16" s="1"/>
  <c r="N89" i="15"/>
  <c r="D184" i="16" s="1"/>
  <c r="K89" i="15"/>
  <c r="D136" i="16"/>
  <c r="O15" i="15"/>
  <c r="H89" i="15"/>
  <c r="D88" i="16" s="1"/>
  <c r="D87" i="16" s="1"/>
  <c r="E89" i="15"/>
  <c r="D40" i="16" s="1"/>
  <c r="O14" i="15"/>
  <c r="I89" i="15"/>
  <c r="D104" i="16" s="1"/>
  <c r="M104" i="15"/>
  <c r="N104" i="15"/>
  <c r="J104" i="15"/>
  <c r="I104" i="15"/>
  <c r="F104" i="15"/>
  <c r="D104" i="15"/>
  <c r="C10" i="15"/>
  <c r="C86" i="15" s="1"/>
  <c r="N105" i="2"/>
  <c r="M105" i="2"/>
  <c r="M111" i="2" s="1"/>
  <c r="L105" i="2"/>
  <c r="K105" i="2"/>
  <c r="J105" i="2"/>
  <c r="I105" i="2"/>
  <c r="H105" i="2"/>
  <c r="G105" i="2"/>
  <c r="F105" i="2"/>
  <c r="B77" i="2"/>
  <c r="C73" i="2"/>
  <c r="O73" i="2" s="1"/>
  <c r="B72" i="2"/>
  <c r="B73" i="2"/>
  <c r="B74" i="2"/>
  <c r="B75" i="2"/>
  <c r="B76" i="2"/>
  <c r="B71" i="2"/>
  <c r="B66" i="2"/>
  <c r="B67" i="2"/>
  <c r="B68" i="2"/>
  <c r="B69" i="2"/>
  <c r="B65" i="2"/>
  <c r="B61" i="2"/>
  <c r="B62" i="2"/>
  <c r="B63" i="2"/>
  <c r="B60" i="2"/>
  <c r="B51" i="2"/>
  <c r="B52" i="2"/>
  <c r="B53" i="2"/>
  <c r="B54" i="2"/>
  <c r="B55" i="2"/>
  <c r="B56" i="2"/>
  <c r="B57" i="2"/>
  <c r="B58" i="2"/>
  <c r="B50" i="2"/>
  <c r="B44" i="2"/>
  <c r="B45" i="2"/>
  <c r="B46" i="2"/>
  <c r="B47" i="2"/>
  <c r="B48" i="2"/>
  <c r="B43" i="2"/>
  <c r="B39" i="2"/>
  <c r="B40" i="2"/>
  <c r="B41" i="2"/>
  <c r="B38" i="2"/>
  <c r="B33" i="2"/>
  <c r="B21" i="2"/>
  <c r="B22" i="2"/>
  <c r="B23" i="2"/>
  <c r="B24" i="2"/>
  <c r="B25" i="2"/>
  <c r="B26" i="2"/>
  <c r="B27" i="2"/>
  <c r="B28" i="2"/>
  <c r="B20" i="2"/>
  <c r="B15" i="2"/>
  <c r="B16" i="2"/>
  <c r="B17" i="2"/>
  <c r="B18" i="2"/>
  <c r="B14" i="2"/>
  <c r="B5" i="2"/>
  <c r="B6" i="2"/>
  <c r="B7" i="2"/>
  <c r="B8" i="2"/>
  <c r="B9" i="2"/>
  <c r="B4" i="2"/>
  <c r="C76" i="2"/>
  <c r="C75" i="2"/>
  <c r="C72" i="2"/>
  <c r="C69" i="2"/>
  <c r="C68" i="2"/>
  <c r="C66" i="2"/>
  <c r="C65" i="2"/>
  <c r="C58" i="2"/>
  <c r="C57" i="2"/>
  <c r="C52" i="2"/>
  <c r="O52" i="2" s="1"/>
  <c r="C48" i="2"/>
  <c r="C46" i="2"/>
  <c r="C42" i="2" s="1"/>
  <c r="C93" i="2" s="1"/>
  <c r="C12" i="16" s="1"/>
  <c r="E12" i="16" s="1"/>
  <c r="C45" i="2"/>
  <c r="C44" i="2"/>
  <c r="C43" i="2"/>
  <c r="C41" i="2"/>
  <c r="C39" i="2"/>
  <c r="C37" i="2" s="1"/>
  <c r="C92" i="2" s="1"/>
  <c r="C11" i="16" s="1"/>
  <c r="C38" i="2"/>
  <c r="C36" i="2"/>
  <c r="C35" i="2"/>
  <c r="O35" i="2" s="1"/>
  <c r="C34" i="2"/>
  <c r="C33" i="2"/>
  <c r="C28" i="2"/>
  <c r="C27" i="2"/>
  <c r="O27" i="2" s="1"/>
  <c r="C26" i="2"/>
  <c r="C25" i="2"/>
  <c r="C24" i="2"/>
  <c r="C22" i="2"/>
  <c r="C21" i="2"/>
  <c r="C20" i="2"/>
  <c r="C17" i="2"/>
  <c r="C16" i="2"/>
  <c r="C14" i="2"/>
  <c r="C9" i="2"/>
  <c r="C8" i="2"/>
  <c r="C6" i="2"/>
  <c r="C10" i="2" s="1"/>
  <c r="C86" i="2" s="1"/>
  <c r="C5" i="2"/>
  <c r="C4" i="2"/>
  <c r="O16" i="15"/>
  <c r="C77" i="2"/>
  <c r="C47" i="2"/>
  <c r="C53" i="2"/>
  <c r="C54" i="2"/>
  <c r="C56" i="2"/>
  <c r="C61" i="2"/>
  <c r="C62" i="2"/>
  <c r="C67" i="2"/>
  <c r="C71" i="2"/>
  <c r="C70" i="2" s="1"/>
  <c r="C97" i="2" s="1"/>
  <c r="C74" i="2"/>
  <c r="O39" i="15"/>
  <c r="O23" i="15"/>
  <c r="O25" i="15"/>
  <c r="C23" i="2"/>
  <c r="C15" i="2"/>
  <c r="C63" i="2"/>
  <c r="C50" i="2"/>
  <c r="C49" i="2" s="1"/>
  <c r="C94" i="2" s="1"/>
  <c r="C18" i="2"/>
  <c r="C40" i="2"/>
  <c r="C51" i="2"/>
  <c r="C60" i="2"/>
  <c r="C59" i="2" s="1"/>
  <c r="C95" i="2" s="1"/>
  <c r="C55" i="2"/>
  <c r="O20" i="15"/>
  <c r="O24" i="15"/>
  <c r="O27" i="15"/>
  <c r="O19" i="15" s="1"/>
  <c r="O33" i="15"/>
  <c r="O32" i="15" s="1"/>
  <c r="O34" i="15"/>
  <c r="O40" i="15"/>
  <c r="O37" i="15" s="1"/>
  <c r="O41" i="15"/>
  <c r="O52" i="15"/>
  <c r="O60" i="15"/>
  <c r="O61" i="15"/>
  <c r="O62" i="15"/>
  <c r="O59" i="15" s="1"/>
  <c r="O22" i="15"/>
  <c r="F86" i="15"/>
  <c r="D53" i="16" s="1"/>
  <c r="I86" i="15"/>
  <c r="D101" i="16" s="1"/>
  <c r="E86" i="15"/>
  <c r="D37" i="16" s="1"/>
  <c r="L86" i="15"/>
  <c r="D149" i="16" s="1"/>
  <c r="O58" i="15"/>
  <c r="F94" i="15"/>
  <c r="D61" i="16" s="1"/>
  <c r="G104" i="15"/>
  <c r="M97" i="15"/>
  <c r="D176" i="16" s="1"/>
  <c r="E97" i="15"/>
  <c r="D48" i="16" s="1"/>
  <c r="F97" i="15"/>
  <c r="D64" i="16" s="1"/>
  <c r="H78" i="15"/>
  <c r="H80" i="15" s="1"/>
  <c r="C97" i="15"/>
  <c r="G97" i="15"/>
  <c r="D80" i="16" s="1"/>
  <c r="K97" i="15"/>
  <c r="D144" i="16"/>
  <c r="I97" i="15"/>
  <c r="D112" i="16" s="1"/>
  <c r="N86" i="15"/>
  <c r="D181" i="16" s="1"/>
  <c r="M86" i="15"/>
  <c r="D165" i="16" s="1"/>
  <c r="H42" i="2"/>
  <c r="H93" i="2" s="1"/>
  <c r="C92" i="16" s="1"/>
  <c r="J37" i="2"/>
  <c r="J92" i="2" s="1"/>
  <c r="C123" i="16" s="1"/>
  <c r="M89" i="15"/>
  <c r="D168" i="16" s="1"/>
  <c r="I78" i="15"/>
  <c r="F78" i="15"/>
  <c r="F106" i="15"/>
  <c r="L78" i="15"/>
  <c r="H86" i="15"/>
  <c r="D85" i="16" s="1"/>
  <c r="J86" i="15"/>
  <c r="D117" i="16"/>
  <c r="D86" i="15"/>
  <c r="D21" i="16"/>
  <c r="G8" i="24"/>
  <c r="G12" i="24" s="1"/>
  <c r="V6" i="23"/>
  <c r="V8" i="23"/>
  <c r="G26" i="24"/>
  <c r="H8" i="24"/>
  <c r="H12" i="24" s="1"/>
  <c r="I8" i="24"/>
  <c r="I12" i="24" s="1"/>
  <c r="J8" i="24" s="1"/>
  <c r="J12" i="24" s="1"/>
  <c r="K8" i="24" s="1"/>
  <c r="K12" i="24" s="1"/>
  <c r="L8" i="24" s="1"/>
  <c r="L12" i="24" s="1"/>
  <c r="M8" i="24" s="1"/>
  <c r="M12" i="24" s="1"/>
  <c r="N8" i="24" s="1"/>
  <c r="N12" i="24" s="1"/>
  <c r="O8" i="24" s="1"/>
  <c r="O12" i="24" s="1"/>
  <c r="P8" i="24" s="1"/>
  <c r="E111" i="2"/>
  <c r="D73" i="16"/>
  <c r="D10" i="2"/>
  <c r="D86" i="2" s="1"/>
  <c r="C21" i="16" s="1"/>
  <c r="I10" i="2"/>
  <c r="I86" i="2" s="1"/>
  <c r="H106" i="15"/>
  <c r="F80" i="15"/>
  <c r="H19" i="2"/>
  <c r="H90" i="2" s="1"/>
  <c r="C89" i="16" s="1"/>
  <c r="E89" i="16" s="1"/>
  <c r="O41" i="2"/>
  <c r="O109" i="15"/>
  <c r="O29" i="2"/>
  <c r="O30" i="2"/>
  <c r="O31" i="2"/>
  <c r="O107" i="2"/>
  <c r="O106" i="2"/>
  <c r="C111" i="2"/>
  <c r="D16" i="16"/>
  <c r="D10" i="16"/>
  <c r="D26" i="16"/>
  <c r="O36" i="2"/>
  <c r="C101" i="16"/>
  <c r="E101" i="16" s="1"/>
  <c r="O63" i="2"/>
  <c r="O94" i="15" l="1"/>
  <c r="D13" i="16"/>
  <c r="O67" i="2"/>
  <c r="O104" i="2"/>
  <c r="O70" i="15"/>
  <c r="D49" i="2"/>
  <c r="D94" i="2" s="1"/>
  <c r="C29" i="16" s="1"/>
  <c r="D64" i="2"/>
  <c r="D96" i="2" s="1"/>
  <c r="C31" i="16" s="1"/>
  <c r="K10" i="2"/>
  <c r="K86" i="2" s="1"/>
  <c r="C133" i="16" s="1"/>
  <c r="H140" i="16" s="1"/>
  <c r="H13" i="2"/>
  <c r="M13" i="2"/>
  <c r="M89" i="2" s="1"/>
  <c r="C168" i="16" s="1"/>
  <c r="E168" i="16" s="1"/>
  <c r="G19" i="2"/>
  <c r="G90" i="2" s="1"/>
  <c r="C73" i="16" s="1"/>
  <c r="E73" i="16" s="1"/>
  <c r="O25" i="2"/>
  <c r="J19" i="2"/>
  <c r="J90" i="2" s="1"/>
  <c r="M19" i="2"/>
  <c r="M90" i="2" s="1"/>
  <c r="C169" i="16" s="1"/>
  <c r="G32" i="2"/>
  <c r="G91" i="2" s="1"/>
  <c r="J32" i="2"/>
  <c r="J91" i="2" s="1"/>
  <c r="C122" i="16" s="1"/>
  <c r="M32" i="2"/>
  <c r="M91" i="2" s="1"/>
  <c r="I37" i="2"/>
  <c r="I92" i="2" s="1"/>
  <c r="C107" i="16" s="1"/>
  <c r="G37" i="2"/>
  <c r="G92" i="2" s="1"/>
  <c r="C75" i="16" s="1"/>
  <c r="K37" i="2"/>
  <c r="K92" i="2" s="1"/>
  <c r="C139" i="16" s="1"/>
  <c r="F42" i="2"/>
  <c r="F93" i="2" s="1"/>
  <c r="C60" i="16" s="1"/>
  <c r="O45" i="2"/>
  <c r="J42" i="2"/>
  <c r="J93" i="2" s="1"/>
  <c r="C124" i="16" s="1"/>
  <c r="E124" i="16" s="1"/>
  <c r="I49" i="2"/>
  <c r="I94" i="2" s="1"/>
  <c r="C109" i="16" s="1"/>
  <c r="E109" i="16" s="1"/>
  <c r="L49" i="2"/>
  <c r="L94" i="2" s="1"/>
  <c r="C157" i="16" s="1"/>
  <c r="E59" i="2"/>
  <c r="E95" i="2" s="1"/>
  <c r="C46" i="16" s="1"/>
  <c r="K59" i="2"/>
  <c r="K95" i="2" s="1"/>
  <c r="C142" i="16" s="1"/>
  <c r="I59" i="2"/>
  <c r="I95" i="2" s="1"/>
  <c r="C110" i="16" s="1"/>
  <c r="O68" i="2"/>
  <c r="H64" i="2"/>
  <c r="H96" i="2" s="1"/>
  <c r="C95" i="16" s="1"/>
  <c r="K64" i="2"/>
  <c r="K96" i="2" s="1"/>
  <c r="C143" i="16" s="1"/>
  <c r="N64" i="2"/>
  <c r="N96" i="2" s="1"/>
  <c r="C191" i="16" s="1"/>
  <c r="O77" i="2"/>
  <c r="J111" i="2"/>
  <c r="I88" i="15"/>
  <c r="I98" i="15" s="1"/>
  <c r="D37" i="2"/>
  <c r="D92" i="2" s="1"/>
  <c r="C27" i="16" s="1"/>
  <c r="O26" i="2"/>
  <c r="F59" i="2"/>
  <c r="F95" i="2" s="1"/>
  <c r="C62" i="16" s="1"/>
  <c r="O96" i="15"/>
  <c r="L70" i="2"/>
  <c r="L97" i="2" s="1"/>
  <c r="C160" i="16" s="1"/>
  <c r="D103" i="16"/>
  <c r="D113" i="16" s="1"/>
  <c r="O42" i="15"/>
  <c r="O64" i="15"/>
  <c r="O7" i="2"/>
  <c r="N10" i="2"/>
  <c r="N86" i="2" s="1"/>
  <c r="C181" i="16" s="1"/>
  <c r="E181" i="16" s="1"/>
  <c r="N13" i="2"/>
  <c r="N89" i="2" s="1"/>
  <c r="K19" i="2"/>
  <c r="K90" i="2" s="1"/>
  <c r="C137" i="16" s="1"/>
  <c r="E137" i="16" s="1"/>
  <c r="F19" i="2"/>
  <c r="F90" i="2" s="1"/>
  <c r="C57" i="16" s="1"/>
  <c r="E57" i="16" s="1"/>
  <c r="I19" i="2"/>
  <c r="I90" i="2" s="1"/>
  <c r="C105" i="16" s="1"/>
  <c r="H32" i="2"/>
  <c r="H91" i="2" s="1"/>
  <c r="C90" i="16" s="1"/>
  <c r="K32" i="2"/>
  <c r="K91" i="2" s="1"/>
  <c r="C138" i="16" s="1"/>
  <c r="N32" i="2"/>
  <c r="N91" i="2" s="1"/>
  <c r="C186" i="16" s="1"/>
  <c r="M37" i="2"/>
  <c r="M92" i="2" s="1"/>
  <c r="C171" i="16" s="1"/>
  <c r="H37" i="2"/>
  <c r="H92" i="2" s="1"/>
  <c r="L37" i="2"/>
  <c r="L92" i="2" s="1"/>
  <c r="C155" i="16" s="1"/>
  <c r="E42" i="2"/>
  <c r="E93" i="2" s="1"/>
  <c r="C44" i="16" s="1"/>
  <c r="O48" i="2"/>
  <c r="H49" i="2"/>
  <c r="H94" i="2" s="1"/>
  <c r="C93" i="16" s="1"/>
  <c r="K49" i="2"/>
  <c r="K94" i="2" s="1"/>
  <c r="C141" i="16" s="1"/>
  <c r="E141" i="16" s="1"/>
  <c r="J59" i="2"/>
  <c r="J95" i="2" s="1"/>
  <c r="C126" i="16" s="1"/>
  <c r="E126" i="16" s="1"/>
  <c r="O58" i="2"/>
  <c r="N59" i="2"/>
  <c r="N95" i="2" s="1"/>
  <c r="C190" i="16" s="1"/>
  <c r="F64" i="2"/>
  <c r="F96" i="2" s="1"/>
  <c r="C63" i="16" s="1"/>
  <c r="L64" i="2"/>
  <c r="L96" i="2" s="1"/>
  <c r="C159" i="16" s="1"/>
  <c r="G70" i="2"/>
  <c r="G97" i="2" s="1"/>
  <c r="C80" i="16" s="1"/>
  <c r="E70" i="2"/>
  <c r="E97" i="2" s="1"/>
  <c r="C48" i="16" s="1"/>
  <c r="N111" i="2"/>
  <c r="C104" i="15"/>
  <c r="O53" i="2"/>
  <c r="O56" i="2"/>
  <c r="O97" i="15"/>
  <c r="C19" i="2"/>
  <c r="C90" i="2" s="1"/>
  <c r="C9" i="16" s="1"/>
  <c r="E9" i="16" s="1"/>
  <c r="H111" i="2"/>
  <c r="F29" i="24"/>
  <c r="C88" i="15"/>
  <c r="O49" i="15"/>
  <c r="O28" i="2"/>
  <c r="O46" i="2"/>
  <c r="O60" i="2"/>
  <c r="O74" i="2"/>
  <c r="O4" i="2"/>
  <c r="H10" i="2"/>
  <c r="H86" i="2" s="1"/>
  <c r="C85" i="16" s="1"/>
  <c r="J10" i="2"/>
  <c r="J86" i="2" s="1"/>
  <c r="C117" i="16" s="1"/>
  <c r="E117" i="16" s="1"/>
  <c r="E13" i="2"/>
  <c r="E89" i="2" s="1"/>
  <c r="C40" i="16" s="1"/>
  <c r="O17" i="2"/>
  <c r="E19" i="2"/>
  <c r="E90" i="2" s="1"/>
  <c r="C41" i="16" s="1"/>
  <c r="N19" i="2"/>
  <c r="N90" i="2" s="1"/>
  <c r="C185" i="16" s="1"/>
  <c r="F32" i="2"/>
  <c r="F91" i="2" s="1"/>
  <c r="C58" i="16" s="1"/>
  <c r="I32" i="2"/>
  <c r="I91" i="2" s="1"/>
  <c r="C106" i="16" s="1"/>
  <c r="L32" i="2"/>
  <c r="L91" i="2" s="1"/>
  <c r="C154" i="16" s="1"/>
  <c r="E37" i="2"/>
  <c r="E92" i="2" s="1"/>
  <c r="C43" i="16" s="1"/>
  <c r="N42" i="2"/>
  <c r="N93" i="2" s="1"/>
  <c r="C188" i="16" s="1"/>
  <c r="E188" i="16" s="1"/>
  <c r="I42" i="2"/>
  <c r="I93" i="2" s="1"/>
  <c r="C108" i="16" s="1"/>
  <c r="F49" i="2"/>
  <c r="F94" i="2" s="1"/>
  <c r="C61" i="16" s="1"/>
  <c r="M49" i="2"/>
  <c r="M94" i="2" s="1"/>
  <c r="C173" i="16" s="1"/>
  <c r="G49" i="2"/>
  <c r="G94" i="2" s="1"/>
  <c r="C77" i="16" s="1"/>
  <c r="E77" i="16" s="1"/>
  <c r="O61" i="2"/>
  <c r="M59" i="2"/>
  <c r="M95" i="2" s="1"/>
  <c r="C174" i="16" s="1"/>
  <c r="M64" i="2"/>
  <c r="M96" i="2" s="1"/>
  <c r="C175" i="16" s="1"/>
  <c r="G64" i="2"/>
  <c r="G96" i="2" s="1"/>
  <c r="C79" i="16" s="1"/>
  <c r="H70" i="2"/>
  <c r="H97" i="2" s="1"/>
  <c r="C96" i="16" s="1"/>
  <c r="O110" i="2"/>
  <c r="O108" i="2"/>
  <c r="O109" i="2"/>
  <c r="O44" i="2"/>
  <c r="O105" i="2"/>
  <c r="M10" i="2"/>
  <c r="M86" i="2" s="1"/>
  <c r="C165" i="16" s="1"/>
  <c r="D19" i="2"/>
  <c r="D90" i="2" s="1"/>
  <c r="C25" i="16" s="1"/>
  <c r="H25" i="16" s="1"/>
  <c r="H59" i="2"/>
  <c r="H95" i="2" s="1"/>
  <c r="C94" i="16" s="1"/>
  <c r="G111" i="2"/>
  <c r="C13" i="16"/>
  <c r="E13" i="16" s="1"/>
  <c r="C14" i="16"/>
  <c r="E14" i="16" s="1"/>
  <c r="Q15" i="24"/>
  <c r="P19" i="24"/>
  <c r="Q19" i="24" s="1"/>
  <c r="H138" i="16"/>
  <c r="H143" i="16"/>
  <c r="Q8" i="24"/>
  <c r="P12" i="24"/>
  <c r="Q12" i="24" s="1"/>
  <c r="O6" i="2"/>
  <c r="O18" i="2"/>
  <c r="O62" i="2"/>
  <c r="O59" i="2" s="1"/>
  <c r="O72" i="2"/>
  <c r="D56" i="16"/>
  <c r="D55" i="16" s="1"/>
  <c r="D65" i="16" s="1"/>
  <c r="F88" i="15"/>
  <c r="F98" i="15" s="1"/>
  <c r="D42" i="2"/>
  <c r="D93" i="2" s="1"/>
  <c r="D70" i="2"/>
  <c r="D97" i="2" s="1"/>
  <c r="C32" i="16" s="1"/>
  <c r="E32" i="16" s="1"/>
  <c r="G13" i="2"/>
  <c r="K13" i="2"/>
  <c r="D11" i="16"/>
  <c r="E11" i="16" s="1"/>
  <c r="O93" i="15"/>
  <c r="G10" i="2"/>
  <c r="G86" i="2" s="1"/>
  <c r="C69" i="16" s="1"/>
  <c r="E69" i="16" s="1"/>
  <c r="L106" i="15"/>
  <c r="L80" i="15"/>
  <c r="O50" i="2"/>
  <c r="O34" i="2"/>
  <c r="C32" i="2"/>
  <c r="C91" i="2" s="1"/>
  <c r="C10" i="16" s="1"/>
  <c r="O39" i="2"/>
  <c r="O66" i="2"/>
  <c r="D5" i="16"/>
  <c r="C98" i="15"/>
  <c r="C100" i="15" s="1"/>
  <c r="O13" i="15"/>
  <c r="H88" i="15"/>
  <c r="H98" i="15" s="1"/>
  <c r="E185" i="16"/>
  <c r="D158" i="16"/>
  <c r="D151" i="16" s="1"/>
  <c r="D161" i="16" s="1"/>
  <c r="L88" i="15"/>
  <c r="L98" i="15" s="1"/>
  <c r="O15" i="2"/>
  <c r="C13" i="2"/>
  <c r="O21" i="2"/>
  <c r="O19" i="2" s="1"/>
  <c r="O95" i="15"/>
  <c r="G29" i="24"/>
  <c r="H22" i="24"/>
  <c r="H26" i="24" s="1"/>
  <c r="I80" i="15"/>
  <c r="I106" i="15"/>
  <c r="O51" i="2"/>
  <c r="E49" i="2"/>
  <c r="E94" i="2" s="1"/>
  <c r="C45" i="16" s="1"/>
  <c r="J49" i="2"/>
  <c r="J94" i="2" s="1"/>
  <c r="C125" i="16" s="1"/>
  <c r="H125" i="16" s="1"/>
  <c r="N49" i="2"/>
  <c r="N94" i="2" s="1"/>
  <c r="C189" i="16" s="1"/>
  <c r="E189" i="16" s="1"/>
  <c r="F111" i="2"/>
  <c r="D97" i="16"/>
  <c r="D25" i="16"/>
  <c r="D13" i="2"/>
  <c r="O14" i="2"/>
  <c r="H75" i="16"/>
  <c r="D59" i="2"/>
  <c r="D95" i="2" s="1"/>
  <c r="C30" i="16" s="1"/>
  <c r="O23" i="2"/>
  <c r="O9" i="2"/>
  <c r="O33" i="2"/>
  <c r="O32" i="2" s="1"/>
  <c r="O65" i="2"/>
  <c r="E140" i="16"/>
  <c r="O47" i="2"/>
  <c r="O20" i="2"/>
  <c r="L19" i="2"/>
  <c r="L90" i="2" s="1"/>
  <c r="C153" i="16" s="1"/>
  <c r="F37" i="2"/>
  <c r="F92" i="2" s="1"/>
  <c r="C59" i="16" s="1"/>
  <c r="O40" i="2"/>
  <c r="K92" i="15"/>
  <c r="K78" i="15"/>
  <c r="K106" i="15" s="1"/>
  <c r="G92" i="15"/>
  <c r="O92" i="15" s="1"/>
  <c r="G78" i="15"/>
  <c r="G106" i="15" s="1"/>
  <c r="N91" i="15"/>
  <c r="N78" i="15"/>
  <c r="J91" i="15"/>
  <c r="J78" i="15"/>
  <c r="M78" i="15"/>
  <c r="M90" i="15"/>
  <c r="E90" i="15"/>
  <c r="E78" i="15"/>
  <c r="D89" i="15"/>
  <c r="D78" i="15"/>
  <c r="K104" i="15"/>
  <c r="O104" i="15" s="1"/>
  <c r="K86" i="15"/>
  <c r="K80" i="15"/>
  <c r="G80" i="15"/>
  <c r="N37" i="2"/>
  <c r="N92" i="2" s="1"/>
  <c r="C187" i="16" s="1"/>
  <c r="E187" i="16" s="1"/>
  <c r="G42" i="2"/>
  <c r="G93" i="2" s="1"/>
  <c r="C76" i="16" s="1"/>
  <c r="H76" i="16" s="1"/>
  <c r="L42" i="2"/>
  <c r="L93" i="2" s="1"/>
  <c r="C156" i="16" s="1"/>
  <c r="O55" i="2"/>
  <c r="G59" i="2"/>
  <c r="G95" i="2" s="1"/>
  <c r="C78" i="16" s="1"/>
  <c r="J64" i="2"/>
  <c r="J96" i="2" s="1"/>
  <c r="C127" i="16" s="1"/>
  <c r="O71" i="2"/>
  <c r="O16" i="2"/>
  <c r="O22" i="2"/>
  <c r="L111" i="2"/>
  <c r="O10" i="15"/>
  <c r="E29" i="24"/>
  <c r="V45" i="23"/>
  <c r="C64" i="2"/>
  <c r="C96" i="2" s="1"/>
  <c r="O54" i="2"/>
  <c r="O43" i="2"/>
  <c r="O69" i="2"/>
  <c r="C78" i="15"/>
  <c r="F70" i="2"/>
  <c r="F97" i="2" s="1"/>
  <c r="C64" i="16" s="1"/>
  <c r="J70" i="2"/>
  <c r="J97" i="2" s="1"/>
  <c r="C128" i="16" s="1"/>
  <c r="E128" i="16" s="1"/>
  <c r="M70" i="2"/>
  <c r="M97" i="2" s="1"/>
  <c r="C176" i="16" s="1"/>
  <c r="E176" i="16" s="1"/>
  <c r="I70" i="2"/>
  <c r="I97" i="2" s="1"/>
  <c r="C112" i="16" s="1"/>
  <c r="O5" i="2"/>
  <c r="O10" i="2" s="1"/>
  <c r="O75" i="2"/>
  <c r="O70" i="2" s="1"/>
  <c r="E10" i="2"/>
  <c r="E86" i="2" s="1"/>
  <c r="F13" i="2"/>
  <c r="F78" i="2" s="1"/>
  <c r="F80" i="2" s="1"/>
  <c r="L13" i="2"/>
  <c r="O38" i="2"/>
  <c r="O76" i="2"/>
  <c r="K111" i="2"/>
  <c r="F10" i="2"/>
  <c r="I13" i="2"/>
  <c r="C5" i="16"/>
  <c r="C16" i="16"/>
  <c r="C121" i="16"/>
  <c r="C119" i="16" s="1"/>
  <c r="E46" i="16"/>
  <c r="E120" i="16"/>
  <c r="E21" i="16"/>
  <c r="E30" i="16"/>
  <c r="H30" i="16"/>
  <c r="H26" i="16"/>
  <c r="E26" i="16"/>
  <c r="E48" i="16"/>
  <c r="E79" i="16"/>
  <c r="H79" i="16"/>
  <c r="E94" i="16"/>
  <c r="C74" i="16"/>
  <c r="H123" i="16"/>
  <c r="E123" i="16"/>
  <c r="H31" i="16"/>
  <c r="E31" i="16"/>
  <c r="E95" i="16"/>
  <c r="E90" i="16"/>
  <c r="H142" i="16"/>
  <c r="E142" i="16"/>
  <c r="E159" i="16"/>
  <c r="E157" i="16"/>
  <c r="E80" i="16"/>
  <c r="H80" i="16"/>
  <c r="H108" i="16"/>
  <c r="E108" i="16"/>
  <c r="E107" i="16"/>
  <c r="H107" i="16"/>
  <c r="E154" i="16"/>
  <c r="C170" i="16"/>
  <c r="E170" i="16" s="1"/>
  <c r="E191" i="16"/>
  <c r="E106" i="16"/>
  <c r="H106" i="16"/>
  <c r="F86" i="2"/>
  <c r="I89" i="2"/>
  <c r="I78" i="2"/>
  <c r="I80" i="2" s="1"/>
  <c r="K89" i="2"/>
  <c r="E62" i="16"/>
  <c r="E64" i="16"/>
  <c r="H144" i="16"/>
  <c r="E144" i="16"/>
  <c r="E192" i="16"/>
  <c r="E138" i="16"/>
  <c r="E172" i="16"/>
  <c r="E143" i="16"/>
  <c r="E175" i="16"/>
  <c r="E47" i="16"/>
  <c r="H29" i="16"/>
  <c r="E29" i="16"/>
  <c r="E44" i="16"/>
  <c r="E43" i="16"/>
  <c r="E42" i="16"/>
  <c r="E174" i="16"/>
  <c r="E96" i="16"/>
  <c r="E156" i="16"/>
  <c r="E59" i="16"/>
  <c r="E45" i="16"/>
  <c r="E61" i="16"/>
  <c r="E78" i="16"/>
  <c r="H78" i="16"/>
  <c r="E92" i="16"/>
  <c r="C91" i="16"/>
  <c r="H139" i="16"/>
  <c r="E112" i="16"/>
  <c r="H112" i="16"/>
  <c r="H122" i="16"/>
  <c r="E125" i="16"/>
  <c r="E63" i="16"/>
  <c r="E190" i="16"/>
  <c r="E127" i="16"/>
  <c r="E171" i="16"/>
  <c r="E111" i="16"/>
  <c r="H111" i="16"/>
  <c r="E110" i="16"/>
  <c r="H110" i="16"/>
  <c r="C149" i="16"/>
  <c r="H159" i="16" s="1"/>
  <c r="L78" i="2"/>
  <c r="L80" i="2" s="1"/>
  <c r="L89" i="2"/>
  <c r="E58" i="16"/>
  <c r="E60" i="16"/>
  <c r="H155" i="16"/>
  <c r="H160" i="16"/>
  <c r="E153" i="16"/>
  <c r="E155" i="16"/>
  <c r="E173" i="16"/>
  <c r="E160" i="16"/>
  <c r="H168" i="16" l="1"/>
  <c r="H174" i="16"/>
  <c r="H169" i="16"/>
  <c r="H172" i="16"/>
  <c r="H171" i="16"/>
  <c r="H176" i="16"/>
  <c r="H93" i="16"/>
  <c r="E85" i="16"/>
  <c r="H90" i="16"/>
  <c r="H89" i="16"/>
  <c r="H92" i="16"/>
  <c r="H95" i="16"/>
  <c r="H96" i="16"/>
  <c r="H94" i="16"/>
  <c r="H89" i="2"/>
  <c r="H78" i="2"/>
  <c r="E76" i="16"/>
  <c r="E78" i="2"/>
  <c r="E80" i="2" s="1"/>
  <c r="O97" i="2"/>
  <c r="H141" i="16"/>
  <c r="O92" i="2"/>
  <c r="H77" i="16"/>
  <c r="H32" i="16"/>
  <c r="F89" i="2"/>
  <c r="F88" i="2" s="1"/>
  <c r="F98" i="2" s="1"/>
  <c r="E93" i="16"/>
  <c r="O111" i="2"/>
  <c r="H126" i="16"/>
  <c r="H120" i="16"/>
  <c r="H158" i="16"/>
  <c r="M98" i="2"/>
  <c r="H128" i="16"/>
  <c r="E88" i="2"/>
  <c r="O78" i="15"/>
  <c r="H137" i="16"/>
  <c r="O80" i="15"/>
  <c r="H124" i="16"/>
  <c r="H153" i="16"/>
  <c r="K78" i="2"/>
  <c r="K80" i="2" s="1"/>
  <c r="M88" i="2"/>
  <c r="O37" i="2"/>
  <c r="O42" i="2"/>
  <c r="O90" i="15"/>
  <c r="E25" i="16"/>
  <c r="H80" i="2"/>
  <c r="J88" i="2"/>
  <c r="J98" i="2" s="1"/>
  <c r="N78" i="2"/>
  <c r="N80" i="2" s="1"/>
  <c r="H127" i="16"/>
  <c r="H109" i="16"/>
  <c r="O91" i="2"/>
  <c r="E158" i="16"/>
  <c r="E105" i="16"/>
  <c r="H105" i="16"/>
  <c r="D88" i="15"/>
  <c r="D24" i="16"/>
  <c r="O89" i="15"/>
  <c r="M80" i="15"/>
  <c r="M106" i="15"/>
  <c r="D186" i="16"/>
  <c r="N88" i="15"/>
  <c r="N98" i="15" s="1"/>
  <c r="D139" i="16"/>
  <c r="K88" i="15"/>
  <c r="D78" i="2"/>
  <c r="D80" i="2" s="1"/>
  <c r="D89" i="2"/>
  <c r="M78" i="2"/>
  <c r="M80" i="2" s="1"/>
  <c r="O95" i="2"/>
  <c r="O94" i="2"/>
  <c r="C80" i="15"/>
  <c r="C82" i="15"/>
  <c r="C106" i="15"/>
  <c r="C15" i="16"/>
  <c r="E15" i="16" s="1"/>
  <c r="O96" i="2"/>
  <c r="D133" i="16"/>
  <c r="K98" i="15"/>
  <c r="E106" i="15"/>
  <c r="E80" i="15"/>
  <c r="J106" i="15"/>
  <c r="J80" i="15"/>
  <c r="O91" i="15"/>
  <c r="H29" i="24"/>
  <c r="I22" i="24"/>
  <c r="I26" i="24" s="1"/>
  <c r="J78" i="2"/>
  <c r="J80" i="2" s="1"/>
  <c r="C78" i="2"/>
  <c r="C89" i="2"/>
  <c r="O64" i="2"/>
  <c r="O49" i="2"/>
  <c r="C28" i="16"/>
  <c r="O93" i="2"/>
  <c r="D7" i="16"/>
  <c r="D17" i="16" s="1"/>
  <c r="O90" i="2"/>
  <c r="D41" i="16"/>
  <c r="E88" i="15"/>
  <c r="E98" i="15" s="1"/>
  <c r="D122" i="16"/>
  <c r="J88" i="15"/>
  <c r="J98" i="15" s="1"/>
  <c r="D75" i="16"/>
  <c r="G88" i="15"/>
  <c r="G98" i="15" s="1"/>
  <c r="H73" i="16"/>
  <c r="D106" i="15"/>
  <c r="D80" i="15"/>
  <c r="D169" i="16"/>
  <c r="M88" i="15"/>
  <c r="M98" i="15" s="1"/>
  <c r="N106" i="15"/>
  <c r="N80" i="15"/>
  <c r="O13" i="2"/>
  <c r="O86" i="15"/>
  <c r="G89" i="2"/>
  <c r="G78" i="2"/>
  <c r="G80" i="2" s="1"/>
  <c r="C184" i="16"/>
  <c r="N88" i="2"/>
  <c r="N98" i="2" s="1"/>
  <c r="H27" i="16"/>
  <c r="E27" i="16"/>
  <c r="E10" i="16"/>
  <c r="H10" i="16"/>
  <c r="C136" i="16"/>
  <c r="K88" i="2"/>
  <c r="K98" i="2" s="1"/>
  <c r="C104" i="16"/>
  <c r="I88" i="2"/>
  <c r="I98" i="2" s="1"/>
  <c r="H170" i="16"/>
  <c r="C167" i="16"/>
  <c r="C177" i="16" s="1"/>
  <c r="E74" i="16"/>
  <c r="H74" i="16"/>
  <c r="E16" i="16"/>
  <c r="H16" i="16"/>
  <c r="E5" i="16"/>
  <c r="H14" i="16"/>
  <c r="H9" i="16"/>
  <c r="H13" i="16"/>
  <c r="H11" i="16"/>
  <c r="H12" i="16"/>
  <c r="H173" i="16"/>
  <c r="H154" i="16"/>
  <c r="H157" i="16"/>
  <c r="C152" i="16"/>
  <c r="L88" i="2"/>
  <c r="L98" i="2" s="1"/>
  <c r="E149" i="16"/>
  <c r="E98" i="2"/>
  <c r="C37" i="16"/>
  <c r="H40" i="16" s="1"/>
  <c r="H91" i="16"/>
  <c r="E91" i="16"/>
  <c r="E165" i="16"/>
  <c r="C53" i="16"/>
  <c r="E40" i="16"/>
  <c r="C39" i="16"/>
  <c r="H119" i="16"/>
  <c r="C129" i="16"/>
  <c r="H121" i="16"/>
  <c r="E121" i="16"/>
  <c r="H156" i="16"/>
  <c r="H175" i="16"/>
  <c r="O86" i="2"/>
  <c r="C56" i="16" l="1"/>
  <c r="D82" i="15"/>
  <c r="H15" i="16"/>
  <c r="C88" i="16"/>
  <c r="H88" i="2"/>
  <c r="H98" i="2" s="1"/>
  <c r="O78" i="2"/>
  <c r="O80" i="2" s="1"/>
  <c r="I29" i="24"/>
  <c r="J22" i="24"/>
  <c r="J26" i="24" s="1"/>
  <c r="D98" i="15"/>
  <c r="D100" i="15" s="1"/>
  <c r="E100" i="15" s="1"/>
  <c r="F100" i="15" s="1"/>
  <c r="G100" i="15" s="1"/>
  <c r="H100" i="15" s="1"/>
  <c r="I100" i="15" s="1"/>
  <c r="J100" i="15" s="1"/>
  <c r="K100" i="15" s="1"/>
  <c r="L100" i="15" s="1"/>
  <c r="M100" i="15" s="1"/>
  <c r="N100" i="15" s="1"/>
  <c r="O88" i="15"/>
  <c r="O98" i="15"/>
  <c r="E169" i="16"/>
  <c r="D167" i="16"/>
  <c r="D177" i="16" s="1"/>
  <c r="E177" i="16" s="1"/>
  <c r="C8" i="16"/>
  <c r="C88" i="2"/>
  <c r="C98" i="2" s="1"/>
  <c r="C100" i="2" s="1"/>
  <c r="E133" i="16"/>
  <c r="D135" i="16"/>
  <c r="D145" i="16" s="1"/>
  <c r="E139" i="16"/>
  <c r="C72" i="16"/>
  <c r="G88" i="2"/>
  <c r="G98" i="2" s="1"/>
  <c r="D71" i="16"/>
  <c r="E75" i="16"/>
  <c r="D39" i="16"/>
  <c r="D49" i="16" s="1"/>
  <c r="E41" i="16"/>
  <c r="O106" i="15"/>
  <c r="O110" i="15" s="1"/>
  <c r="C110" i="15"/>
  <c r="D110" i="15" s="1"/>
  <c r="E110" i="15" s="1"/>
  <c r="F110" i="15" s="1"/>
  <c r="G110" i="15" s="1"/>
  <c r="H110" i="15" s="1"/>
  <c r="I110" i="15" s="1"/>
  <c r="J110" i="15" s="1"/>
  <c r="K110" i="15" s="1"/>
  <c r="L110" i="15" s="1"/>
  <c r="M110" i="15" s="1"/>
  <c r="N110" i="15" s="1"/>
  <c r="D119" i="16"/>
  <c r="E122" i="16"/>
  <c r="H28" i="16"/>
  <c r="E28" i="16"/>
  <c r="C82" i="2"/>
  <c r="D82" i="2" s="1"/>
  <c r="E82" i="2" s="1"/>
  <c r="F82" i="2" s="1"/>
  <c r="G82" i="2" s="1"/>
  <c r="H82" i="2" s="1"/>
  <c r="I82" i="2" s="1"/>
  <c r="J82" i="2" s="1"/>
  <c r="K82" i="2" s="1"/>
  <c r="L82" i="2" s="1"/>
  <c r="M82" i="2" s="1"/>
  <c r="N82" i="2" s="1"/>
  <c r="C80" i="2"/>
  <c r="E82" i="15"/>
  <c r="F82" i="15" s="1"/>
  <c r="G82" i="15" s="1"/>
  <c r="H82" i="15" s="1"/>
  <c r="I82" i="15" s="1"/>
  <c r="J82" i="15" s="1"/>
  <c r="K82" i="15" s="1"/>
  <c r="L82" i="15" s="1"/>
  <c r="M82" i="15" s="1"/>
  <c r="N82" i="15" s="1"/>
  <c r="C24" i="16"/>
  <c r="E24" i="16" s="1"/>
  <c r="D88" i="2"/>
  <c r="D98" i="2" s="1"/>
  <c r="O89" i="2"/>
  <c r="O88" i="2" s="1"/>
  <c r="O98" i="2" s="1"/>
  <c r="D183" i="16"/>
  <c r="D193" i="16" s="1"/>
  <c r="E186" i="16"/>
  <c r="D23" i="16"/>
  <c r="D33" i="16" s="1"/>
  <c r="H39" i="16"/>
  <c r="E39" i="16"/>
  <c r="E53" i="16"/>
  <c r="H64" i="16"/>
  <c r="H57" i="16"/>
  <c r="H59" i="16"/>
  <c r="H61" i="16"/>
  <c r="H63" i="16"/>
  <c r="H62" i="16"/>
  <c r="H58" i="16"/>
  <c r="H60" i="16"/>
  <c r="C151" i="16"/>
  <c r="H152" i="16"/>
  <c r="E152" i="16"/>
  <c r="E104" i="16"/>
  <c r="H104" i="16"/>
  <c r="C103" i="16"/>
  <c r="H136" i="16"/>
  <c r="E136" i="16"/>
  <c r="C135" i="16"/>
  <c r="H56" i="16"/>
  <c r="C55" i="16"/>
  <c r="E56" i="16"/>
  <c r="E37" i="16"/>
  <c r="C49" i="16"/>
  <c r="E49" i="16" s="1"/>
  <c r="H46" i="16"/>
  <c r="H48" i="16"/>
  <c r="H47" i="16"/>
  <c r="H44" i="16"/>
  <c r="H43" i="16"/>
  <c r="H42" i="16"/>
  <c r="H45" i="16"/>
  <c r="H41" i="16"/>
  <c r="H167" i="16"/>
  <c r="E167" i="16"/>
  <c r="E184" i="16"/>
  <c r="C183" i="16"/>
  <c r="H184" i="16" s="1"/>
  <c r="E88" i="16" l="1"/>
  <c r="H88" i="16"/>
  <c r="C87" i="16"/>
  <c r="D100" i="2"/>
  <c r="E100" i="2" s="1"/>
  <c r="F100" i="2" s="1"/>
  <c r="G100" i="2" s="1"/>
  <c r="H100" i="2" s="1"/>
  <c r="I100" i="2" s="1"/>
  <c r="J100" i="2" s="1"/>
  <c r="K100" i="2" s="1"/>
  <c r="L100" i="2" s="1"/>
  <c r="M100" i="2" s="1"/>
  <c r="N100" i="2" s="1"/>
  <c r="E8" i="16"/>
  <c r="H8" i="16"/>
  <c r="C7" i="16"/>
  <c r="D129" i="16"/>
  <c r="E129" i="16" s="1"/>
  <c r="E119" i="16"/>
  <c r="E72" i="16"/>
  <c r="H72" i="16"/>
  <c r="C71" i="16"/>
  <c r="E71" i="16" s="1"/>
  <c r="H24" i="16"/>
  <c r="C23" i="16"/>
  <c r="K22" i="24"/>
  <c r="K26" i="24" s="1"/>
  <c r="J29" i="24"/>
  <c r="D81" i="16"/>
  <c r="H135" i="16"/>
  <c r="E135" i="16"/>
  <c r="C145" i="16"/>
  <c r="E145" i="16" s="1"/>
  <c r="H151" i="16"/>
  <c r="E151" i="16"/>
  <c r="C161" i="16"/>
  <c r="E161" i="16" s="1"/>
  <c r="E183" i="16"/>
  <c r="H183" i="16"/>
  <c r="C193" i="16"/>
  <c r="E193" i="16" s="1"/>
  <c r="H185" i="16"/>
  <c r="H191" i="16"/>
  <c r="H187" i="16"/>
  <c r="H189" i="16"/>
  <c r="H190" i="16"/>
  <c r="H186" i="16"/>
  <c r="H192" i="16"/>
  <c r="H188" i="16"/>
  <c r="H55" i="16"/>
  <c r="E55" i="16"/>
  <c r="H103" i="16"/>
  <c r="C113" i="16"/>
  <c r="E113" i="16" s="1"/>
  <c r="E103" i="16"/>
  <c r="C65" i="16"/>
  <c r="E65" i="16" s="1"/>
  <c r="H87" i="16" l="1"/>
  <c r="E87" i="16"/>
  <c r="C97" i="16"/>
  <c r="E97" i="16" s="1"/>
  <c r="L22" i="24"/>
  <c r="L26" i="24" s="1"/>
  <c r="K29" i="24"/>
  <c r="C17" i="16"/>
  <c r="E17" i="16" s="1"/>
  <c r="H7" i="16"/>
  <c r="E7" i="16"/>
  <c r="C33" i="16"/>
  <c r="E33" i="16" s="1"/>
  <c r="H23" i="16"/>
  <c r="E23" i="16"/>
  <c r="C81" i="16"/>
  <c r="E81" i="16" s="1"/>
  <c r="H71" i="16"/>
  <c r="M22" i="24" l="1"/>
  <c r="M26" i="24" s="1"/>
  <c r="L29" i="24"/>
  <c r="M29" i="24" l="1"/>
  <c r="N22" i="24"/>
  <c r="N26" i="24" s="1"/>
  <c r="N29" i="24" l="1"/>
  <c r="O22" i="24"/>
  <c r="O26" i="24" s="1"/>
  <c r="O29" i="24" l="1"/>
  <c r="P22" i="24"/>
  <c r="Q22" i="24" l="1"/>
  <c r="P26" i="24"/>
  <c r="P29" i="24" l="1"/>
  <c r="Q26" i="24"/>
  <c r="Q29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Puma</author>
  </authors>
  <commentList>
    <comment ref="C109" authorId="0" shapeId="0" xr:uid="{00000000-0006-0000-0D00-000001000000}">
      <text>
        <r>
          <rPr>
            <b/>
            <sz val="8"/>
            <color indexed="81"/>
            <rFont val="Tahoma"/>
            <family val="2"/>
          </rPr>
          <t>I</t>
        </r>
        <r>
          <rPr>
            <sz val="8"/>
            <color indexed="81"/>
            <rFont val="Tahoma"/>
            <family val="2"/>
          </rPr>
          <t>dec: Insira a soma das parcelas das compras realizadas em dezembro com inicio de pagamento previsto p/ janeiro
i</t>
        </r>
      </text>
    </comment>
  </commentList>
</comments>
</file>

<file path=xl/sharedStrings.xml><?xml version="1.0" encoding="utf-8"?>
<sst xmlns="http://schemas.openxmlformats.org/spreadsheetml/2006/main" count="946" uniqueCount="431">
  <si>
    <t>Orçamento Doméstico</t>
  </si>
  <si>
    <t>Por que elaborar um plano de orçamento doméstico ?</t>
  </si>
  <si>
    <t xml:space="preserve">1º passo: </t>
  </si>
  <si>
    <t xml:space="preserve">2º passo: </t>
  </si>
  <si>
    <t>3º passo:</t>
  </si>
  <si>
    <t xml:space="preserve">Natureza das despesas e o fluxo de caixa </t>
  </si>
  <si>
    <r>
      <t xml:space="preserve">9. Gráfico com participação das despesas: </t>
    </r>
    <r>
      <rPr>
        <sz val="11"/>
        <color indexed="8"/>
        <rFont val="Calibri"/>
        <family val="2"/>
      </rPr>
      <t>Os gráficos permitem um avaliação da destinação da renda e os meios de pagamento mais utilizados. Apresenta a concentração das maiores despesas e sinaliza desequilíbrios e necessidade de revisão de gastos. Os gráficos são alimentados por fórmulas e alterados de acordo com o lançamento da coluna (Real) do mês correspondente.</t>
    </r>
  </si>
  <si>
    <t>Salário  / Adiantamento</t>
  </si>
  <si>
    <t>Férias</t>
  </si>
  <si>
    <t>13º salário</t>
  </si>
  <si>
    <t>Aposentadoria</t>
  </si>
  <si>
    <t>Total da Receita   Líquida</t>
  </si>
  <si>
    <t>2 - Detalhamento de despesas</t>
  </si>
  <si>
    <t>Alimentação</t>
  </si>
  <si>
    <t>Supermercado</t>
  </si>
  <si>
    <t>Feira  / Sacolão</t>
  </si>
  <si>
    <t>Padaria</t>
  </si>
  <si>
    <t>Moradia</t>
  </si>
  <si>
    <t>Condomínio</t>
  </si>
  <si>
    <t>Telefone fixo</t>
  </si>
  <si>
    <t>Energia Elétrica</t>
  </si>
  <si>
    <t>Gás</t>
  </si>
  <si>
    <t>IPTU</t>
  </si>
  <si>
    <t>Educação</t>
  </si>
  <si>
    <t>Material Escolar</t>
  </si>
  <si>
    <t>Outros cursos</t>
  </si>
  <si>
    <t>Transporte escolar</t>
  </si>
  <si>
    <t>Celular</t>
  </si>
  <si>
    <t>Saúde</t>
  </si>
  <si>
    <t>Plano de saúde</t>
  </si>
  <si>
    <t>Medicamentos</t>
  </si>
  <si>
    <t>Dentista</t>
  </si>
  <si>
    <t>Transporte</t>
  </si>
  <si>
    <t>Ônibus / Metrô</t>
  </si>
  <si>
    <t>Taxi</t>
  </si>
  <si>
    <t>Combustível</t>
  </si>
  <si>
    <t>Estacionamento</t>
  </si>
  <si>
    <t>Licenciamento</t>
  </si>
  <si>
    <t>Pedágio</t>
  </si>
  <si>
    <t>IPVA</t>
  </si>
  <si>
    <t>Pessoais</t>
  </si>
  <si>
    <t xml:space="preserve">Presentes </t>
  </si>
  <si>
    <t xml:space="preserve">Outros  </t>
  </si>
  <si>
    <t>Lazer</t>
  </si>
  <si>
    <t xml:space="preserve">Livros / Revistas / Cd´s </t>
  </si>
  <si>
    <t xml:space="preserve">Viagens </t>
  </si>
  <si>
    <t>Serviços Financeiros</t>
  </si>
  <si>
    <t>Empréstimos</t>
  </si>
  <si>
    <t>Juros Cheque Especial</t>
  </si>
  <si>
    <t>Tarifas bancárias</t>
  </si>
  <si>
    <t>Financiamento de veículo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</si>
  <si>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</si>
  <si>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</si>
  <si>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</si>
  <si>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</si>
  <si>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</si>
  <si>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</si>
  <si>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</si>
  <si>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</si>
  <si>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</si>
  <si>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</si>
  <si>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</si>
  <si>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</si>
  <si>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Mês: </t>
  </si>
  <si>
    <t>Previsto</t>
  </si>
  <si>
    <t>Real</t>
  </si>
  <si>
    <t>Meio de pagamento</t>
  </si>
  <si>
    <t>Previdência privada</t>
  </si>
  <si>
    <t>Se não for possível, estime com base nos valores do mês atual e faça ajustes durante os primeiros meses do ano e procure se manter dentro do orçamento previsto.</t>
  </si>
  <si>
    <r>
      <t>2. Detalhamento de Despesas:</t>
    </r>
    <r>
      <rPr>
        <sz val="11"/>
        <color indexed="8"/>
        <rFont val="Calibri"/>
        <family val="2"/>
      </rPr>
      <t xml:space="preserve"> Foram criados nove grupos com as despesas mais frequentes , classificadas como fixas e variáveis, que envolvem as necessidades essenciais para a sobrevivência das pessoas e que fazem parte de seu cotidiano da maioria das famílias</t>
    </r>
  </si>
  <si>
    <r>
      <t xml:space="preserve">Atenção para os lançamento das despesas pagas com CARTÕES DE CRÉDITO.
</t>
    </r>
    <r>
      <rPr>
        <sz val="11"/>
        <color indexed="8"/>
        <rFont val="Calibri"/>
        <family val="2"/>
      </rPr>
      <t xml:space="preserve">O uso do cartão de crédito possui algumas particularidades em função do uso no presente e o pagamento no futuro, com variações como compras parceladas e possibilidade de pagamento mínimo. Nesses casos, lance cada valor efetivamente pago nos meses correspondentes.                    </t>
    </r>
  </si>
  <si>
    <r>
      <t>8. Comparativo no mês:</t>
    </r>
    <r>
      <rPr>
        <sz val="11"/>
        <color indexed="8"/>
        <rFont val="Calibri"/>
        <family val="2"/>
      </rPr>
      <t xml:space="preserve"> Esta pasta permite acompanhar a relação entre as previsões estimadas e a situação real entre receita e despesa. Os gráficos são alimentados por fórmulas e são alterados de acordo com os dados lançados no campo Real. Através do gráfico é possível visualizar a participação que cada despesa tem na receita e também quais são os meios de pagamentos mais utilizados no mês. Estas informações são úteis no momento de revisão de gastos e planejamento de aquisição de  bens e serviços de valores elevados.</t>
    </r>
  </si>
  <si>
    <t>Data</t>
  </si>
  <si>
    <t>Prestação /Aluguel de imóvel</t>
  </si>
  <si>
    <t>Decoração da casa</t>
  </si>
  <si>
    <t>Manutenção / Reforma da casa</t>
  </si>
  <si>
    <t>Refeição fora de casa</t>
  </si>
  <si>
    <t>Cod.</t>
  </si>
  <si>
    <t>Valor R$</t>
  </si>
  <si>
    <t xml:space="preserve">Matricula Escolar/ Mensalidade </t>
  </si>
  <si>
    <t>Outras Receitas</t>
  </si>
  <si>
    <t>Descritivo</t>
  </si>
  <si>
    <t>Detalhamento de Receita e Despesa por grupo de contas</t>
  </si>
  <si>
    <t xml:space="preserve">Total das despesas </t>
  </si>
  <si>
    <t>Receita</t>
  </si>
  <si>
    <t>R1</t>
  </si>
  <si>
    <t>R2</t>
  </si>
  <si>
    <t>R3</t>
  </si>
  <si>
    <t>R4</t>
  </si>
  <si>
    <t>R5</t>
  </si>
  <si>
    <t>R6</t>
  </si>
  <si>
    <t>A1</t>
  </si>
  <si>
    <t>A2</t>
  </si>
  <si>
    <t>A3</t>
  </si>
  <si>
    <t>A4</t>
  </si>
  <si>
    <t>A5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</si>
  <si>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</si>
  <si>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</si>
  <si>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</si>
  <si>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</si>
  <si>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</si>
  <si>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</si>
  <si>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</si>
  <si>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</si>
  <si>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</si>
  <si>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E1</t>
  </si>
  <si>
    <t>E2</t>
  </si>
  <si>
    <t>E3</t>
  </si>
  <si>
    <t>E4</t>
  </si>
  <si>
    <t>C1</t>
  </si>
  <si>
    <t>C2</t>
  </si>
  <si>
    <t>C3</t>
  </si>
  <si>
    <t>C4</t>
  </si>
  <si>
    <t>S1</t>
  </si>
  <si>
    <t>S2</t>
  </si>
  <si>
    <t>S3</t>
  </si>
  <si>
    <t>S4</t>
  </si>
  <si>
    <t>S5</t>
  </si>
  <si>
    <t>S6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</si>
  <si>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</si>
  <si>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</si>
  <si>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</si>
  <si>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</si>
  <si>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</si>
  <si>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</si>
  <si>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</si>
  <si>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</si>
  <si>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</si>
  <si>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P1</t>
  </si>
  <si>
    <t>P2</t>
  </si>
  <si>
    <t>P3</t>
  </si>
  <si>
    <t>P4</t>
  </si>
  <si>
    <t>L1</t>
  </si>
  <si>
    <t>L2</t>
  </si>
  <si>
    <t>L3</t>
  </si>
  <si>
    <t>L4</t>
  </si>
  <si>
    <t>L5</t>
  </si>
  <si>
    <t>F1</t>
  </si>
  <si>
    <t>F2</t>
  </si>
  <si>
    <t>F3</t>
  </si>
  <si>
    <t>F4</t>
  </si>
  <si>
    <t>F5</t>
  </si>
  <si>
    <t>F6</t>
  </si>
  <si>
    <t>F7</t>
  </si>
  <si>
    <t>F8</t>
  </si>
  <si>
    <t>Código</t>
  </si>
  <si>
    <t>Grupo de contas</t>
  </si>
  <si>
    <t>Consumo de água</t>
  </si>
  <si>
    <t xml:space="preserve">Imposto de Renda a Pagar </t>
  </si>
  <si>
    <t>Sub-grupo de contas</t>
  </si>
  <si>
    <t>Grupo de conta</t>
  </si>
  <si>
    <t>Sub-grupo de conta</t>
  </si>
  <si>
    <t>Fluxo de caixa</t>
  </si>
  <si>
    <t>Saldo no mês</t>
  </si>
  <si>
    <t>Saque</t>
  </si>
  <si>
    <t>F9</t>
  </si>
  <si>
    <t xml:space="preserve">Saldo </t>
  </si>
  <si>
    <t>Pagamentos no cartão de débito</t>
  </si>
  <si>
    <t>Pagamentos em dinheiro</t>
  </si>
  <si>
    <t>Pagamento da fatura do cartão no mês</t>
  </si>
  <si>
    <t/>
  </si>
  <si>
    <t>Saldo Anterior (conta corrente + dinheiro)</t>
  </si>
  <si>
    <t xml:space="preserve">Compras no cartão para próximo mês </t>
  </si>
  <si>
    <t>Receita extra (aluguel, restituição IR)</t>
  </si>
  <si>
    <t>Seguros (vida/residencial)</t>
  </si>
  <si>
    <t>Seguro Auto</t>
  </si>
  <si>
    <t>basta lançar o nome do estabelecimento, o valor e o meio de pagamento utilizado.</t>
  </si>
  <si>
    <t xml:space="preserve">Nenhum </t>
  </si>
  <si>
    <t>Nenhum</t>
  </si>
  <si>
    <t>R1 - Receita - Salário / Adiantamento</t>
  </si>
  <si>
    <t>R2 - Receita - Férias</t>
  </si>
  <si>
    <t>R3 - Receita - 13° salário</t>
  </si>
  <si>
    <t>R4 - Receita - Aposentadoria</t>
  </si>
  <si>
    <t>R5 - Receita - Receita extra(aluguel, Restituição IR)</t>
  </si>
  <si>
    <t>R6 - Receita - Outras Receitas</t>
  </si>
  <si>
    <t>A1 - Alimentação - Supermercado</t>
  </si>
  <si>
    <t>A2 - Alimentação - Feira / Sacolão</t>
  </si>
  <si>
    <t>A3 - Alimentação - Padaria</t>
  </si>
  <si>
    <t>A4 - Alimentação - Refeição fora de casa</t>
  </si>
  <si>
    <t>A5 - Alimentação - Outros (café, água, sorvetes, etc)</t>
  </si>
  <si>
    <t>M1 - Moradia - Prestação ou Aluguel de imóvel</t>
  </si>
  <si>
    <t>M2 - Moradia - Condomínio</t>
  </si>
  <si>
    <t>M3 - Moradia - Consumo de água</t>
  </si>
  <si>
    <t>M5 - Moradia - Energia Elétrica</t>
  </si>
  <si>
    <t>M6 - Moradia - Gás</t>
  </si>
  <si>
    <t>M7 - Moradia - IPTU</t>
  </si>
  <si>
    <t>M8 - Moradia - Decoração da casa</t>
  </si>
  <si>
    <t>M9 - Moradia - Manutenção / Reforma da casa</t>
  </si>
  <si>
    <t>E1 - Educação - Matrícula Escolar / Mensalidade</t>
  </si>
  <si>
    <t>E2 - Educação - Material Escolar</t>
  </si>
  <si>
    <t>E3 - Educação - Outros cursos</t>
  </si>
  <si>
    <t>E4 - Transporte Escolar</t>
  </si>
  <si>
    <t>S1 - Saúde - Plano de saúde</t>
  </si>
  <si>
    <t>S2 - Saúde - Medicamentos</t>
  </si>
  <si>
    <t>S3 - Saúde - Dentista</t>
  </si>
  <si>
    <t>S5 - Saúde - Médicos/Exames fora do plano de saúde</t>
  </si>
  <si>
    <t>S6 - Saúde - Academia / Tratamento Estético</t>
  </si>
  <si>
    <t>S4 - Saúde - Terapia/Psicólogo/Acupuntura</t>
  </si>
  <si>
    <t>T1 - Transporte - Ônibus / Metrô</t>
  </si>
  <si>
    <t>T2 - Transporte - Táxi</t>
  </si>
  <si>
    <t>T3 - Transporte - Combustível</t>
  </si>
  <si>
    <t>T4 - Transporte - Estacionamento</t>
  </si>
  <si>
    <t>T5 - Transporte - Seguro auto</t>
  </si>
  <si>
    <t>T6 - Transporte - Manutenção / Lavagem / Troca de óleo</t>
  </si>
  <si>
    <t>T7 - Transporte - Licenciamento</t>
  </si>
  <si>
    <t>T8 - Transporte - Pedágio</t>
  </si>
  <si>
    <t>T9 - Transporte - IPVA</t>
  </si>
  <si>
    <t>P1 - Pessoais - Vestuário / Calçados / Acessórios</t>
  </si>
  <si>
    <t>P2 - Pessoais - Cabeleireiro / Manicure / Higiene pessoal</t>
  </si>
  <si>
    <t>P3 - Pessoais - Presentes</t>
  </si>
  <si>
    <t>P4 - Pessoais - Outros</t>
  </si>
  <si>
    <t>L2 - Lazer - Livros/Revistas/ Cd´s</t>
  </si>
  <si>
    <t>F3 - Serviços Financeiros - Previdência privada</t>
  </si>
  <si>
    <t>F1 - Serviços Financeiros - Empréstimos</t>
  </si>
  <si>
    <t>F2 - Serviços Financeiros - ( vida / residencial)</t>
  </si>
  <si>
    <t>F5 - Serviços Financeiros - Tarifas Bancárias</t>
  </si>
  <si>
    <t>F6 - Serviços Financeiros - Financiamento de veículo</t>
  </si>
  <si>
    <t>F8 - Serviços Financeiros - Imposto de renda a pagar</t>
  </si>
  <si>
    <t>F9 - Serviços Financeiros - Saque</t>
  </si>
  <si>
    <t>L1 - Lazer - Cinema / Teatro / Shows</t>
  </si>
  <si>
    <t>Vestuário / Calçados / Acessórios</t>
  </si>
  <si>
    <t>Cabeleireiro / Manicure / Higiene pessoal</t>
  </si>
  <si>
    <t>Cinema / Teatro / Shows</t>
  </si>
  <si>
    <t>Clube / Parques / Casa Noturna</t>
  </si>
  <si>
    <t>Restaurantes / Bares / Festas</t>
  </si>
  <si>
    <t>L5 - Lazer - Restaurantes / Bares / Festas</t>
  </si>
  <si>
    <t>Manutenção / Lavagem / Troca de óleo</t>
  </si>
  <si>
    <t>Academia / Tratamento Estético</t>
  </si>
  <si>
    <t>Médicos/Exames fora do plano de saúde</t>
  </si>
  <si>
    <t>Terapia / Psicólogo  / Acupuntura</t>
  </si>
  <si>
    <t>M4 - Moradia - Serviço de limpeza( diarista ou mensalista)</t>
  </si>
  <si>
    <t>Serviço de limpeza( diarista ou mensalista)</t>
  </si>
  <si>
    <t>Outros (café, água, sorvetes, etc)</t>
  </si>
  <si>
    <t xml:space="preserve">Dif </t>
  </si>
  <si>
    <t>Saldo Mensal Receitas (-) Despesas</t>
  </si>
  <si>
    <t>Total de Despesas</t>
  </si>
  <si>
    <t>Total de Receitas</t>
  </si>
  <si>
    <r>
      <t xml:space="preserve">Detalhamento mensal das receita e despesas </t>
    </r>
    <r>
      <rPr>
        <b/>
        <sz val="20"/>
        <color indexed="10"/>
        <rFont val="Calibri"/>
        <family val="2"/>
      </rPr>
      <t>realizadas</t>
    </r>
    <r>
      <rPr>
        <b/>
        <sz val="20"/>
        <color indexed="62"/>
        <rFont val="Calibri"/>
        <family val="2"/>
      </rPr>
      <t xml:space="preserve"> no ano </t>
    </r>
  </si>
  <si>
    <r>
      <t xml:space="preserve">Resumo mensal das receitas e despesas </t>
    </r>
    <r>
      <rPr>
        <b/>
        <sz val="20"/>
        <color indexed="10"/>
        <rFont val="Calibri"/>
        <family val="2"/>
      </rPr>
      <t>realizadas</t>
    </r>
    <r>
      <rPr>
        <b/>
        <sz val="20"/>
        <color indexed="62"/>
        <rFont val="Calibri"/>
        <family val="2"/>
      </rPr>
      <t xml:space="preserve"> no ano </t>
    </r>
  </si>
  <si>
    <r>
      <t xml:space="preserve">Resumo mensal das receitas e despesas </t>
    </r>
    <r>
      <rPr>
        <b/>
        <sz val="20"/>
        <color indexed="10"/>
        <rFont val="Calibri"/>
        <family val="2"/>
      </rPr>
      <t>previstas</t>
    </r>
    <r>
      <rPr>
        <b/>
        <sz val="20"/>
        <color indexed="62"/>
        <rFont val="Calibri"/>
        <family val="2"/>
      </rPr>
      <t xml:space="preserve"> no ano </t>
    </r>
  </si>
  <si>
    <r>
      <t xml:space="preserve">Composição mensal das receita e despesas </t>
    </r>
    <r>
      <rPr>
        <b/>
        <sz val="20"/>
        <color indexed="10"/>
        <rFont val="Calibri"/>
        <family val="2"/>
      </rPr>
      <t>previstas</t>
    </r>
    <r>
      <rPr>
        <b/>
        <sz val="20"/>
        <color indexed="62"/>
        <rFont val="Calibri"/>
        <family val="2"/>
      </rPr>
      <t xml:space="preserve"> para o ano </t>
    </r>
  </si>
  <si>
    <t>Saldo Acumulado no ano</t>
  </si>
  <si>
    <t>Saldo acumulado no ano</t>
  </si>
  <si>
    <t>Consultar o código da conta</t>
  </si>
  <si>
    <t>Movimentação do saldo  no mês</t>
  </si>
  <si>
    <t>Dinheiro (+ / -)</t>
  </si>
  <si>
    <t>Entrada / Saída</t>
  </si>
  <si>
    <t>Depósito</t>
  </si>
  <si>
    <t>Débito</t>
  </si>
  <si>
    <t>Cheque</t>
  </si>
  <si>
    <t>Cartão de crédito</t>
  </si>
  <si>
    <t>Dinheiro</t>
  </si>
  <si>
    <t>Recibo em dinheiro</t>
  </si>
  <si>
    <t>Meio de movimentação de conta</t>
  </si>
  <si>
    <t>DP - Depósito - Entrada</t>
  </si>
  <si>
    <t>DI - Dinheiro - Saída</t>
  </si>
  <si>
    <t xml:space="preserve">Transferência ou DOC </t>
  </si>
  <si>
    <t>CC - Cartão de Crédito - saída</t>
  </si>
  <si>
    <t>CH - Cheque - Cheque - saída</t>
  </si>
  <si>
    <t>DB - Debito - saída</t>
  </si>
  <si>
    <t>RD - Recibo - Recibo em dinheiro - Entrada</t>
  </si>
  <si>
    <t>SQ - Saque  - Saída</t>
  </si>
  <si>
    <t>Jan</t>
  </si>
  <si>
    <t>No mês:</t>
  </si>
  <si>
    <t>Comparativo  Mês Real x Previsto - 2º semestre</t>
  </si>
  <si>
    <t>PC - Parcelamento no Cartão de crédito - saída</t>
  </si>
  <si>
    <t xml:space="preserve">Para mudar o ano nas pastas digite o novo período aqui </t>
  </si>
  <si>
    <t xml:space="preserve">Desempenho gráfico da movimentação de Receitas e Despesas  </t>
  </si>
  <si>
    <t xml:space="preserve">Total </t>
  </si>
  <si>
    <t xml:space="preserve">Resumo do fuxo dos meios de pagamentos (entradas e saídas) </t>
  </si>
  <si>
    <t>Compras no cartão para próximo mês           (PX. Mês)</t>
  </si>
  <si>
    <t>Compras parceladas no cartão de crédito     (PX.Mês)</t>
  </si>
  <si>
    <t>dez= carregar janeiro px ano</t>
  </si>
  <si>
    <t>L3 - Lazer - Clube / Parques / Casa Noturna / Esportes</t>
  </si>
  <si>
    <t>L4 - Lazer - Viagens (hospedagem / refeições / passeios)</t>
  </si>
  <si>
    <t>F4 - Serviços Financeiros - Juros do Cheque Especial + IOF</t>
  </si>
  <si>
    <t>p1</t>
  </si>
  <si>
    <t>C.Corrente (+ / -)</t>
  </si>
  <si>
    <t xml:space="preserve">Saldo do mês anterior </t>
  </si>
  <si>
    <t>C. de Crédito (+)</t>
  </si>
  <si>
    <t xml:space="preserve">Descritivo de Receitas e Despesas realizadas 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</si>
  <si>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</si>
  <si>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</si>
  <si>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</si>
  <si>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</si>
  <si>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</si>
  <si>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</si>
  <si>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</si>
  <si>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</si>
  <si>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</si>
  <si>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</si>
  <si>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</si>
  <si>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Moda Jovem - Roupas  2x - 1/2</t>
  </si>
  <si>
    <t>Loja da Informatica - impressora 5 x 1/5</t>
  </si>
  <si>
    <t>Acessorios e Calçados - 4x - 1/4</t>
  </si>
  <si>
    <t>Total</t>
  </si>
  <si>
    <t>PC</t>
  </si>
  <si>
    <t>DP</t>
  </si>
  <si>
    <t>Valor</t>
  </si>
  <si>
    <t>Qantidade</t>
  </si>
  <si>
    <t>Parcelas</t>
  </si>
  <si>
    <t>Parcela</t>
  </si>
  <si>
    <t>Loja de Informatica - Notebook 10x</t>
  </si>
  <si>
    <t>Poupança</t>
  </si>
  <si>
    <t>Inicial</t>
  </si>
  <si>
    <t>Resumo de Aplicações  Financeiras</t>
  </si>
  <si>
    <t>Fundo de Investimentos</t>
  </si>
  <si>
    <t>Rendimentos</t>
  </si>
  <si>
    <t>Saldo</t>
  </si>
  <si>
    <t>Nova aplicação</t>
  </si>
  <si>
    <t>Saldo Poupança</t>
  </si>
  <si>
    <t>Aplicação inicial</t>
  </si>
  <si>
    <t>Investimento</t>
  </si>
  <si>
    <t>Saldo do fundo</t>
  </si>
  <si>
    <t>Títulos do Tesouro Nacional</t>
  </si>
  <si>
    <t>Rendimentos liquido (-) Imposto de renda</t>
  </si>
  <si>
    <t xml:space="preserve">Total de investimentos </t>
  </si>
  <si>
    <t>Resgate parcial de aplicação (-)</t>
  </si>
  <si>
    <t xml:space="preserve">Valores em reais </t>
  </si>
  <si>
    <t>Composição das compras parcelas no cartão de crédito</t>
  </si>
  <si>
    <t>Identifique a pasta correspondente ao mês de consumo conforme o nome indicado no rodapé da planilha.</t>
  </si>
  <si>
    <t xml:space="preserve">A planilha está configurada em: Pastas com nome dos meses de consumo; pasta "Real" consolida as informações lançadas mensalmente; pasta "Previsão" para lançamento antecipado  </t>
  </si>
  <si>
    <t>dos gastos previstos para todo o ano seguinte; pasta "C.Crédito" para acompanhamento das compras parceladas; pasta "Aplicações" para consolidar informações sobre investimentos;</t>
  </si>
  <si>
    <t>dos recursos .</t>
  </si>
  <si>
    <t xml:space="preserve">Para auxiliar a identificação de onde a conta deve ser lançada, entre em qualquer mês e localize o botão                                                                                                                                              e localize </t>
  </si>
  <si>
    <t>os campos, imagine como será sua vida financeira durante o ano todo.</t>
  </si>
  <si>
    <t xml:space="preserve">No dia-a-dia o preenchimento da planilha será mais rápido e fácil, após selecionar o mês em curso, preencha apenas os campos com fundo branco, cada conta ocupará uma linha. </t>
  </si>
  <si>
    <t xml:space="preserve">Serão preenchidas cinco campos: Código da conta, data, descritivo ou nome do fornecedor, valor e meio de pagamento. </t>
  </si>
  <si>
    <t xml:space="preserve">As informações mais revelantes sobre receita/despesa serão preenchidas nas pastas mensais.  As pastas: "Real" e "Gráfico" serão preenchidas automaticamente, as pastas "C.Crédito" e </t>
  </si>
  <si>
    <t>Nas pastas mensais, além do lançamento da conta (receita ou despesa), haverá um registro da movimentação financeira, através do saldo de pagamento das contas.</t>
  </si>
  <si>
    <t>a movimentação seguirá os meios de pagamento e respectivos canais (conta corrente, dinheiro e cartão de crédito).</t>
  </si>
  <si>
    <t xml:space="preserve">Antes de fazer o lançamento verifique o código da despesa. Ex.: Grupo Educação - Subgrupo Matrícula/Mensalidade  = E1. Ao digitar o código o texto surgirá no campo indicado </t>
  </si>
  <si>
    <t>Preencha somente os campos vazios com fundo branco, cada despesa deverá ocupar uma linha, para saber qual o código correspondente.</t>
  </si>
  <si>
    <t xml:space="preserve">Meio de </t>
  </si>
  <si>
    <t xml:space="preserve">pagamento </t>
  </si>
  <si>
    <t xml:space="preserve">Viagem ao Oriente - Turquia 20 dias </t>
  </si>
  <si>
    <t xml:space="preserve">Custo da viagem </t>
  </si>
  <si>
    <t>Dez-13</t>
  </si>
  <si>
    <t>Trocar de carro</t>
  </si>
  <si>
    <t>Jul(?)</t>
  </si>
  <si>
    <t>Mai-13</t>
  </si>
  <si>
    <t>Reformar a casa</t>
  </si>
  <si>
    <t>Projetos futuros - quanto guardar para realizar</t>
  </si>
  <si>
    <r>
      <t>4º passo:</t>
    </r>
    <r>
      <rPr>
        <sz val="11"/>
        <color indexed="8"/>
        <rFont val="Calibri"/>
        <family val="2"/>
      </rPr>
      <t xml:space="preserve"> </t>
    </r>
  </si>
  <si>
    <t>As informações lançadas nos meses serão automaticamente transferedas para a pasta "Real" , nessa tabela será possível acompanhar tudo que foi recebido e gasto no ano.</t>
  </si>
  <si>
    <t>Logo abaixo da tabela com detalhamento das contas, está disponível o consolidado e o resumo do fluxo dos meios de pagamentos (entradas/saídas). O acompanhamento</t>
  </si>
  <si>
    <t xml:space="preserve">dessas duas planilhas é importante para a compreensão que não pagamos exatamente como recebemos e consumimos, portanto uma complementa a outra e auxilia na decisão </t>
  </si>
  <si>
    <r>
      <t>6º passo:</t>
    </r>
    <r>
      <rPr>
        <sz val="11"/>
        <color indexed="8"/>
        <rFont val="Calibri"/>
        <family val="2"/>
      </rPr>
      <t xml:space="preserve"> </t>
    </r>
  </si>
  <si>
    <t xml:space="preserve">A pasta "C.Credito" deverá ser preenchida com os dados correspondentes aos lançamentos com parcelamento de compras no cartão, e projeção dos valores para os próximos meses. </t>
  </si>
  <si>
    <r>
      <t>7º passo:</t>
    </r>
    <r>
      <rPr>
        <sz val="11"/>
        <color indexed="8"/>
        <rFont val="Calibri"/>
        <family val="2"/>
      </rPr>
      <t xml:space="preserve"> </t>
    </r>
  </si>
  <si>
    <t xml:space="preserve">extratos dos bancos, o acompanhamento consolidado das contas. </t>
  </si>
  <si>
    <r>
      <t>1. Receita líquida:</t>
    </r>
    <r>
      <rPr>
        <b/>
        <sz val="11"/>
        <color indexed="8"/>
        <rFont val="Calibri"/>
        <family val="2"/>
      </rPr>
      <t xml:space="preserve"> C</t>
    </r>
    <r>
      <rPr>
        <sz val="11"/>
        <color indexed="8"/>
        <rFont val="Calibri"/>
        <family val="2"/>
      </rPr>
      <t xml:space="preserve">orrespondentes a todo o recurso financeiro que é disponibilizado na conta corrente como: salário líquido, 1/3 de férias, décimo terceiro salário, mesada, </t>
    </r>
  </si>
  <si>
    <t xml:space="preserve">recebimento de aluguel, aposentadoria, restituição de IR, ou salário recebido durante o mês. </t>
  </si>
  <si>
    <r>
      <t xml:space="preserve">As </t>
    </r>
    <r>
      <rPr>
        <b/>
        <sz val="11"/>
        <color indexed="8"/>
        <rFont val="Calibri"/>
        <family val="2"/>
      </rPr>
      <t xml:space="preserve">despesas fixas </t>
    </r>
    <r>
      <rPr>
        <sz val="11"/>
        <color indexed="8"/>
        <rFont val="Calibri"/>
        <family val="2"/>
      </rPr>
      <t xml:space="preserve">são contas regulares, ou seja, ocorrem todos os meses e garantem a prestação de serviços contínuos e essenciais, como: fornecimento de energia elétrica, água, aluguel, prestação da casa, alimentação.  Despesas que não podem ser interrompidas e possuem menor flexibilidade para administrar. </t>
    </r>
  </si>
  <si>
    <r>
      <t xml:space="preserve">As </t>
    </r>
    <r>
      <rPr>
        <b/>
        <sz val="11"/>
        <color indexed="8"/>
        <rFont val="Calibri"/>
        <family val="2"/>
      </rPr>
      <t>despesas variáveis</t>
    </r>
    <r>
      <rPr>
        <sz val="11"/>
        <color indexed="8"/>
        <rFont val="Calibri"/>
        <family val="2"/>
      </rPr>
      <t xml:space="preserve"> são despesas de ocorrência eventual e consideradas não essenciais, ou seja, podem ter o seu consumo suspenso, reduzido, substituido e interrompido como: Gastos com lazer(cinema, teatro, restaurantes), gasolina, estacionamento, seguros, empréstimo. </t>
    </r>
  </si>
  <si>
    <r>
      <t xml:space="preserve">3. Meio de pagamento utilizado: Corresponde aos canais utilizados para efetuar o pagamento das contas. </t>
    </r>
    <r>
      <rPr>
        <sz val="11"/>
        <color indexed="8"/>
        <rFont val="Calibri"/>
        <family val="2"/>
      </rPr>
      <t>Nesse caso, passa-se a observar a disponibilidade de dinheiro em conta para realizar os compromisso assumidos no mês, de acordo como a receita disponível e os gastos realizados.</t>
    </r>
  </si>
  <si>
    <t xml:space="preserve">Para fazer o lançamento no campo "Detalhamento de despesas" considere a forma de pagamento. Veja os exemplos:
a. Compra sem parcelamento no cartão de crédito: Exemplo: Compras no supermercado, lance o valor pago com cartão direto no grupo Alimentação/supermercado.
b. Compra parcelada no cartão de crédito: Exemplo: Uma geladeira que custa R$ 960,00 e foi adquirida em 10 parcelas sem juros, lance o valor equivalente a 1º parcela no campo Moradia/reforma casa/aquisição de bens, nos meses seguintes lance a parcela na pasta "C.Crédito" Parcelas no cartão de meses anteriores".
 </t>
  </si>
  <si>
    <r>
      <t>4. Fluxo de Caixa:</t>
    </r>
    <r>
      <rPr>
        <sz val="11"/>
        <color indexed="8"/>
        <rFont val="Calibri"/>
        <family val="2"/>
      </rPr>
      <t xml:space="preserve"> Esse quadro não precisa ser preenchido é composto por fórmulas com os resultados dos lançamento realizados e resume toda a movimentação financeira do mês e indica as condições de saldo disponível ou a situação de uso do cheque especial.  O fluxo considera o saldo do mês anterior juntamente com a receita líquida do mês e indica o saldo em caixa para os pagamentos a serem realizados (Receita - Despesa). </t>
    </r>
  </si>
  <si>
    <r>
      <t xml:space="preserve">DESAFIO DA POUPANÇA: </t>
    </r>
    <r>
      <rPr>
        <sz val="11"/>
        <color indexed="8"/>
        <rFont val="Calibri"/>
        <family val="2"/>
      </rPr>
      <t xml:space="preserve">Constituir uma reserva para emergências ou formar uma poupança para a realização de um projeto futuro, exemplo: (Viagem, compra de uma TV nova, reformar a casa) requer um dedicação e disciplina com os gastos e deve ser considerado como uma despesa, um compromisso permanente. A partir desse ponto,  será possível juntar um pouco de dinheiro. </t>
    </r>
  </si>
  <si>
    <t>Juntamente com a tabela de aplicações financeiras foi projetada uma tabela bem simples identificada como "Projetos Futuros - quanto guardar para realizar..." a proposta é registrar</t>
  </si>
  <si>
    <t>algum momento futuro.</t>
  </si>
  <si>
    <t>Comparativo  Mês Real x Previsto -</t>
  </si>
  <si>
    <t>Part % da despesa sobre a receita</t>
  </si>
  <si>
    <t>pasta "Real x Previsto" para comparar os gastos realizados e previstos e auxiliar na reoganização dos recursos; e pasta "Gráfico" para avaliar o desempenho e identificar origem e destino</t>
  </si>
  <si>
    <t xml:space="preserve">É importante antes de iniciar o ano, preencher a planilha de previsão, não precisa ser valores exatos, basta acompanhar a média de receita e despesas do ano anterior. </t>
  </si>
  <si>
    <t xml:space="preserve">onde esta conta deve ser lançada e preencha todos os meses. Esta planilha será preenchida uma única vez, você gastará um tempinho a mais, porém,  somente uma vez para preencher </t>
  </si>
  <si>
    <t>"Aplicações" apresentam campos que devem ser preenchidos conforme a orientação indicada nas pastas.</t>
  </si>
  <si>
    <t xml:space="preserve">A movimentação do saldo no mês, partirá do saldo anterior, que deverá ser preenchido ao iniciar o mês, o fluxo será atualizado a cada novo lançamento de conta.  Para essa condição, </t>
  </si>
  <si>
    <t xml:space="preserve">Para que os campos da movimentação do saldo  no mês reconheça qual canal de pagamento foi utilizado, realize a (entrada/saída) ao lado do valor de cada conta com o botão </t>
  </si>
  <si>
    <t xml:space="preserve">                                                                          e registre no campo correspondente o código do meio de pagamento.</t>
  </si>
  <si>
    <t>de como consumir e administrar o risco de endividamento.</t>
  </si>
  <si>
    <r>
      <t>5º passo:</t>
    </r>
    <r>
      <rPr>
        <sz val="11"/>
        <color indexed="8"/>
        <rFont val="Calibri"/>
        <family val="2"/>
      </rPr>
      <t xml:space="preserve"> </t>
    </r>
  </si>
  <si>
    <t xml:space="preserve">A pasta "Previsto Ano" deve ser preenchida com a média simples das receitas e despesas realizadas nos últimos seis meses, mesmo que seja do ano anterior.  </t>
  </si>
  <si>
    <t xml:space="preserve">A pasta "Aplicações"  tem o objetivo de estimular o consumidor a refletir o consumo e programar recursos para realizar gastos emergenciais ou projetos futuros.  A estrutura da </t>
  </si>
  <si>
    <t xml:space="preserve">da pasta possibilita a inclusão de outros campos de acordo com as aplicações que cada usuário possui em função da grande  variedade de investimentos existentes. O objetivo da  </t>
  </si>
  <si>
    <t xml:space="preserve">tabela é estimular a formação de uma reserva, partindo da caderneta de poupança, acessível ao perfil de toda a população e de baixo risco. </t>
  </si>
  <si>
    <t xml:space="preserve">A planilha não realiza o cálculo de remuneração, mas a consolidação dos investimentos a partir dos registros obtidos em extratos para acompanhar ao longo do ano a composição do saldo.  </t>
  </si>
  <si>
    <t>projetos e planos futuros, muitos sem data determinada, mas que é possível projetar hoje o investimento necessário e programar a formação do saldo necessário para realizá-lo em</t>
  </si>
  <si>
    <r>
      <t>8º passo:</t>
    </r>
    <r>
      <rPr>
        <sz val="11"/>
        <color indexed="8"/>
        <rFont val="Calibri"/>
        <family val="2"/>
      </rPr>
      <t xml:space="preserve"> </t>
    </r>
  </si>
  <si>
    <t xml:space="preserve">A pasta "Real x Previsto" apresenta a comparação entre o real x previsto mensal e a participação percentual de cada grupo de despesa sobre a receita no mês. Esta tabela e também </t>
  </si>
  <si>
    <t>a pasta contendo os gráficos são preenchidas automaticmente, conforme a inclusão dos dados mensalmente.</t>
  </si>
  <si>
    <t>Part. % da despesa sobre a receita</t>
  </si>
  <si>
    <t>Ao iniciar o uso da planilha limpe as informações inseridas como exemplos nos campos autorizados para ilustrar a funcionalidade da ferramenta.</t>
  </si>
  <si>
    <t xml:space="preserve">Resumo do fluxo dos meios de pagamentos (entradas e saídas) </t>
  </si>
  <si>
    <t>Internet / TV a cabo</t>
  </si>
  <si>
    <t>M10 - Moradia - Celular</t>
  </si>
  <si>
    <t>M11 - Moradia - Telefone Fixo</t>
  </si>
  <si>
    <t>M12 - Moradia - TV a cabo / Internet</t>
  </si>
  <si>
    <t>Animal de Estimação</t>
  </si>
  <si>
    <t>Banho / Tosa</t>
  </si>
  <si>
    <t>Outros (acessórios, brinquedos, hotel, dog walker)</t>
  </si>
  <si>
    <t>C1 - Animal - Alimentação</t>
  </si>
  <si>
    <t>C2 - Animal - Banho / Tosa</t>
  </si>
  <si>
    <t>Veterinário / medicamento</t>
  </si>
  <si>
    <t>C3 - Animal - Veterinário / Remédios</t>
  </si>
  <si>
    <t>C4 - Animal - Outros (acessórios/brinquedos/dog walker)</t>
  </si>
  <si>
    <t>M10</t>
  </si>
  <si>
    <t>M11</t>
  </si>
  <si>
    <t>M12</t>
  </si>
  <si>
    <t xml:space="preserve">Ração </t>
  </si>
  <si>
    <t>Despesa</t>
  </si>
  <si>
    <t>Total de Receitas Líquida</t>
  </si>
  <si>
    <t>1) acompanhar a origem e destino das receitas (salário e rendimento adicional);</t>
  </si>
  <si>
    <t>2) identificar o hábito de consumo e os bens e serviços essenciais;</t>
  </si>
  <si>
    <t>3) controlar gastos para manter o equilíbrio financeiro;</t>
  </si>
  <si>
    <t>4) prever os rendimentos para o mês à frente;</t>
  </si>
  <si>
    <t>5) planejar e definir prioridades</t>
  </si>
  <si>
    <t xml:space="preserve">A elaboração do orçamento doméstico exige dedicação, porém, é necessária para quem tem planos e deseja ter mais tranquilidade para lidar com as contas e realizar projetos futuros. </t>
  </si>
  <si>
    <t>Estabelecer metas e envolver a família contribui para alcançar esse objetivo.</t>
  </si>
  <si>
    <t>r3</t>
  </si>
  <si>
    <t>dp</t>
  </si>
  <si>
    <t>db</t>
  </si>
  <si>
    <t xml:space="preserve">Real </t>
  </si>
  <si>
    <t>2º parcela 13º salário</t>
  </si>
  <si>
    <t xml:space="preserve">Loja de presentes </t>
  </si>
  <si>
    <t>As pastas que NÃO necessitam de preenchimento estão protegidas por senhas para evitar que as fórmulas sejam apagadas acidentalmente.</t>
  </si>
  <si>
    <t xml:space="preserve">Digite nos campos correspondentes o saldo final do mês anterior </t>
  </si>
  <si>
    <t>e saldo parcelado do cartão de crédito para próxima fatura</t>
  </si>
  <si>
    <t>f3</t>
  </si>
  <si>
    <t>a1</t>
  </si>
  <si>
    <t>xx</t>
  </si>
  <si>
    <t>tr</t>
  </si>
  <si>
    <t>cc</t>
  </si>
  <si>
    <t>INSS</t>
  </si>
  <si>
    <t xml:space="preserve">Loja </t>
  </si>
  <si>
    <t>DB</t>
  </si>
  <si>
    <t>F7 - Serviços Financeiros - Pagamento da fatura do cartão de crédito</t>
  </si>
  <si>
    <t>Pagamento da fatura do cartão de crédito</t>
  </si>
  <si>
    <t>TR - Transferência ou Doc - Saída</t>
  </si>
  <si>
    <t xml:space="preserve">banco x </t>
  </si>
  <si>
    <t>Como utilizar a planilha de orçamento doméstico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</si>
</sst>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_-;\-* #,##0.00_-;_-* \-??_-;_-@_-"/>
    <numFmt numFmtId="167" formatCode="_(* #,##0.00_);_(* \(#,##0.00\);_(* \-??_);_(@_)"/>
    <numFmt numFmtId="168" formatCode="[$-416]d\-mmm;@"/>
    <numFmt numFmtId="169" formatCode="_(* #,##0.00_);_(* \(#,##0.00\);_(* &quot;-&quot;_);_(@_)"/>
  </numFmts>
  <fonts count="65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6"/>
      <color indexed="9"/>
      <name val="Century Gothic"/>
      <family val="2"/>
    </font>
    <font>
      <b/>
      <sz val="11"/>
      <color indexed="9"/>
      <name val="Century Gothic"/>
      <family val="2"/>
    </font>
    <font>
      <b/>
      <sz val="11"/>
      <color indexed="8"/>
      <name val="Century Gothic"/>
      <family val="2"/>
    </font>
    <font>
      <b/>
      <u/>
      <sz val="11"/>
      <color indexed="8"/>
      <name val="Calibri"/>
      <family val="2"/>
    </font>
    <font>
      <sz val="40"/>
      <color indexed="18"/>
      <name val="Batang"/>
      <family val="1"/>
    </font>
    <font>
      <b/>
      <sz val="14"/>
      <color indexed="9"/>
      <name val="Calibri"/>
      <family val="2"/>
    </font>
    <font>
      <sz val="14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color indexed="8"/>
      <name val="Calibri"/>
      <family val="2"/>
    </font>
    <font>
      <b/>
      <sz val="12"/>
      <color indexed="9"/>
      <name val="Calibri"/>
      <family val="2"/>
    </font>
    <font>
      <b/>
      <sz val="20"/>
      <color indexed="10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36"/>
      <color indexed="18"/>
      <name val="Batang"/>
      <family val="1"/>
    </font>
    <font>
      <sz val="36"/>
      <color indexed="8"/>
      <name val="Calibri"/>
      <family val="2"/>
    </font>
    <font>
      <b/>
      <sz val="48"/>
      <color indexed="9"/>
      <name val="Calibri"/>
      <family val="2"/>
    </font>
    <font>
      <b/>
      <sz val="40"/>
      <color indexed="18"/>
      <name val="Batang"/>
      <family val="1"/>
    </font>
    <font>
      <b/>
      <sz val="28"/>
      <color indexed="9"/>
      <name val="Calibri"/>
      <family val="2"/>
    </font>
    <font>
      <b/>
      <sz val="20"/>
      <color indexed="62"/>
      <name val="Calibri"/>
      <family val="2"/>
    </font>
    <font>
      <sz val="20"/>
      <color indexed="18"/>
      <name val="Batang"/>
      <family val="1"/>
    </font>
    <font>
      <b/>
      <sz val="20"/>
      <color indexed="9"/>
      <name val="Calibri"/>
      <family val="2"/>
    </font>
    <font>
      <sz val="20"/>
      <color indexed="8"/>
      <name val="Calibri"/>
      <family val="2"/>
    </font>
    <font>
      <b/>
      <sz val="12"/>
      <color indexed="8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sz val="36"/>
      <color theme="4" tint="-0.249977111117893"/>
      <name val="Calibri"/>
      <family val="2"/>
    </font>
    <font>
      <b/>
      <sz val="48"/>
      <color theme="4" tint="-0.249977111117893"/>
      <name val="Calibri"/>
      <family val="2"/>
    </font>
    <font>
      <b/>
      <sz val="48"/>
      <color theme="0"/>
      <name val="Calibri"/>
      <family val="2"/>
    </font>
    <font>
      <b/>
      <sz val="18"/>
      <color theme="3" tint="-0.249977111117893"/>
      <name val="Calibri"/>
      <family val="2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0"/>
      <color indexed="8"/>
      <name val="Calibri"/>
      <family val="2"/>
      <scheme val="minor"/>
    </font>
    <font>
      <b/>
      <sz val="10"/>
      <color indexed="18"/>
      <name val="Calibri"/>
      <family val="2"/>
      <scheme val="minor"/>
    </font>
    <font>
      <b/>
      <sz val="11"/>
      <color theme="4" tint="-0.249977111117893"/>
      <name val="Calibri"/>
      <family val="2"/>
    </font>
    <font>
      <b/>
      <sz val="20"/>
      <color theme="4" tint="-0.249977111117893"/>
      <name val="Calibri"/>
      <family val="2"/>
    </font>
    <font>
      <b/>
      <sz val="16"/>
      <color theme="4" tint="-0.249977111117893"/>
      <name val="Calibri"/>
      <family val="2"/>
    </font>
    <font>
      <sz val="16"/>
      <color theme="4" tint="-0.249977111117893"/>
      <name val="Calibri"/>
      <family val="2"/>
    </font>
    <font>
      <b/>
      <sz val="24"/>
      <color theme="4" tint="-0.249977111117893"/>
      <name val="Calibri"/>
      <family val="2"/>
    </font>
    <font>
      <sz val="18"/>
      <color theme="4" tint="-0.249977111117893"/>
      <name val="Calibri"/>
      <family val="2"/>
    </font>
    <font>
      <b/>
      <sz val="18"/>
      <color theme="4" tint="-0.249977111117893"/>
      <name val="Calibri"/>
      <family val="2"/>
    </font>
    <font>
      <b/>
      <sz val="20"/>
      <color theme="4" tint="-0.499984740745262"/>
      <name val="Calibri"/>
      <family val="2"/>
    </font>
    <font>
      <b/>
      <sz val="16"/>
      <color theme="3" tint="-0.249977111117893"/>
      <name val="Calibri"/>
      <family val="2"/>
    </font>
    <font>
      <b/>
      <sz val="16"/>
      <color theme="0"/>
      <name val="Calibri"/>
      <family val="2"/>
    </font>
    <font>
      <sz val="9"/>
      <color rgb="FF333333"/>
      <name val="Arial"/>
      <family val="2"/>
    </font>
    <font>
      <b/>
      <sz val="11"/>
      <color rgb="FFFF0000"/>
      <name val="Calibri"/>
      <family val="2"/>
    </font>
    <font>
      <b/>
      <sz val="24"/>
      <color theme="3" tint="-0.249977111117893"/>
      <name val="Calibri"/>
      <family val="2"/>
    </font>
    <font>
      <b/>
      <sz val="28"/>
      <color theme="4" tint="-0.249977111117893"/>
      <name val="Calibri"/>
      <family val="2"/>
    </font>
    <font>
      <b/>
      <sz val="18"/>
      <color theme="0"/>
      <name val="Calibri"/>
      <family val="2"/>
    </font>
    <font>
      <b/>
      <sz val="24"/>
      <color theme="0"/>
      <name val="Calibri"/>
      <family val="2"/>
    </font>
    <font>
      <b/>
      <sz val="48"/>
      <color theme="6" tint="-0.499984740745262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  <fill>
      <patternFill patternType="solid">
        <fgColor indexed="22"/>
        <bgColor indexed="31"/>
      </patternFill>
    </fill>
    <fill>
      <patternFill patternType="solid">
        <fgColor rgb="FF649691"/>
        <bgColor indexed="56"/>
      </patternFill>
    </fill>
    <fill>
      <patternFill patternType="solid">
        <fgColor rgb="FF649691"/>
        <bgColor indexed="51"/>
      </patternFill>
    </fill>
    <fill>
      <patternFill patternType="solid">
        <fgColor theme="0"/>
        <bgColor indexed="31"/>
      </patternFill>
    </fill>
    <fill>
      <patternFill patternType="solid">
        <fgColor theme="3" tint="-0.249977111117893"/>
        <bgColor indexed="3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theme="0"/>
        <bgColor indexed="3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499984740745262"/>
        <bgColor indexed="51"/>
      </patternFill>
    </fill>
  </fills>
  <borders count="5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57"/>
      </left>
      <right/>
      <top/>
      <bottom/>
      <diagonal/>
    </border>
    <border>
      <left/>
      <right style="thick">
        <color indexed="57"/>
      </right>
      <top/>
      <bottom/>
      <diagonal/>
    </border>
    <border>
      <left style="thick">
        <color indexed="57"/>
      </left>
      <right/>
      <top/>
      <bottom style="thick">
        <color indexed="57"/>
      </bottom>
      <diagonal/>
    </border>
    <border>
      <left/>
      <right/>
      <top/>
      <bottom style="thick">
        <color indexed="57"/>
      </bottom>
      <diagonal/>
    </border>
    <border>
      <left/>
      <right style="thick">
        <color indexed="57"/>
      </right>
      <top/>
      <bottom style="thick">
        <color indexed="57"/>
      </bottom>
      <diagonal/>
    </border>
    <border>
      <left/>
      <right style="thick">
        <color indexed="62"/>
      </right>
      <top/>
      <bottom/>
      <diagonal/>
    </border>
    <border>
      <left style="thick">
        <color indexed="62"/>
      </left>
      <right/>
      <top style="thick">
        <color indexed="62"/>
      </top>
      <bottom/>
      <diagonal/>
    </border>
    <border>
      <left/>
      <right/>
      <top style="thick">
        <color indexed="62"/>
      </top>
      <bottom/>
      <diagonal/>
    </border>
    <border>
      <left/>
      <right style="thick">
        <color indexed="62"/>
      </right>
      <top style="thick">
        <color indexed="62"/>
      </top>
      <bottom/>
      <diagonal/>
    </border>
    <border>
      <left style="thick">
        <color indexed="62"/>
      </left>
      <right/>
      <top/>
      <bottom/>
      <diagonal/>
    </border>
    <border>
      <left style="thick">
        <color indexed="62"/>
      </left>
      <right style="thick">
        <color indexed="62"/>
      </right>
      <top/>
      <bottom style="thick">
        <color indexed="62"/>
      </bottom>
      <diagonal/>
    </border>
    <border>
      <left style="thick">
        <color indexed="62"/>
      </left>
      <right style="thick">
        <color indexed="62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theme="4" tint="-0.249977111117893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3" tint="0.39997558519241921"/>
      </left>
      <right style="thin">
        <color theme="4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4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3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3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3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3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3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3" tint="0.39997558519241921"/>
      </bottom>
      <diagonal/>
    </border>
    <border>
      <left style="thin">
        <color theme="4" tint="0.39997558519241921"/>
      </left>
      <right style="thin">
        <color theme="3" tint="0.39997558519241921"/>
      </right>
      <top style="thin">
        <color theme="4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/>
      <right style="thin">
        <color theme="3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3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/>
      <right style="medium">
        <color theme="4" tint="-0.249977111117893"/>
      </right>
      <top/>
      <bottom/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 tint="-0.249977111117893"/>
      </right>
      <top/>
      <bottom style="medium">
        <color theme="4" tint="-0.249977111117893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/>
      <diagonal/>
    </border>
    <border>
      <left style="medium">
        <color theme="4" tint="-0.249977111117893"/>
      </left>
      <right/>
      <top/>
      <bottom/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7" fillId="0" borderId="0" applyFill="0" applyBorder="0" applyAlignment="0" applyProtection="0"/>
    <xf numFmtId="9" fontId="17" fillId="0" borderId="0" applyFill="0" applyBorder="0" applyAlignment="0" applyProtection="0"/>
    <xf numFmtId="0" fontId="4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288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2" borderId="0" xfId="0" applyFill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3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8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166" fontId="3" fillId="0" borderId="0" xfId="1" applyFont="1" applyFill="1" applyBorder="1" applyAlignment="1" applyProtection="1"/>
    <xf numFmtId="166" fontId="0" fillId="0" borderId="0" xfId="0" applyNumberFormat="1"/>
    <xf numFmtId="0" fontId="11" fillId="0" borderId="0" xfId="0" applyFont="1"/>
    <xf numFmtId="166" fontId="14" fillId="0" borderId="0" xfId="0" applyNumberFormat="1" applyFont="1"/>
    <xf numFmtId="0" fontId="1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34" fillId="5" borderId="0" xfId="0" applyFont="1" applyFill="1"/>
    <xf numFmtId="166" fontId="34" fillId="0" borderId="0" xfId="0" applyNumberFormat="1" applyFont="1"/>
    <xf numFmtId="0" fontId="34" fillId="0" borderId="0" xfId="0" applyFont="1"/>
    <xf numFmtId="166" fontId="17" fillId="0" borderId="14" xfId="1" applyFill="1" applyBorder="1" applyAlignment="1" applyProtection="1"/>
    <xf numFmtId="0" fontId="2" fillId="4" borderId="0" xfId="0" applyFont="1" applyFill="1" applyAlignment="1">
      <alignment horizontal="left" vertical="center"/>
    </xf>
    <xf numFmtId="0" fontId="0" fillId="4" borderId="0" xfId="0" applyFill="1"/>
    <xf numFmtId="0" fontId="0" fillId="5" borderId="0" xfId="0" applyFill="1"/>
    <xf numFmtId="0" fontId="35" fillId="5" borderId="0" xfId="0" applyFont="1" applyFill="1" applyAlignment="1">
      <alignment horizontal="left" vertical="center"/>
    </xf>
    <xf numFmtId="166" fontId="17" fillId="6" borderId="14" xfId="1" applyFill="1" applyBorder="1" applyAlignment="1" applyProtection="1"/>
    <xf numFmtId="0" fontId="19" fillId="0" borderId="0" xfId="0" applyFont="1"/>
    <xf numFmtId="0" fontId="22" fillId="0" borderId="0" xfId="0" applyFont="1"/>
    <xf numFmtId="43" fontId="0" fillId="0" borderId="0" xfId="0" applyNumberFormat="1"/>
    <xf numFmtId="167" fontId="17" fillId="0" borderId="14" xfId="1" applyNumberFormat="1" applyFill="1" applyBorder="1" applyAlignment="1" applyProtection="1"/>
    <xf numFmtId="167" fontId="3" fillId="3" borderId="14" xfId="1" applyNumberFormat="1" applyFont="1" applyFill="1" applyBorder="1" applyAlignment="1" applyProtection="1"/>
    <xf numFmtId="167" fontId="0" fillId="0" borderId="0" xfId="1" applyNumberFormat="1" applyFont="1" applyFill="1" applyBorder="1" applyAlignment="1" applyProtection="1"/>
    <xf numFmtId="164" fontId="34" fillId="0" borderId="0" xfId="0" applyNumberFormat="1" applyFont="1"/>
    <xf numFmtId="165" fontId="17" fillId="0" borderId="14" xfId="1" applyNumberFormat="1" applyFill="1" applyBorder="1" applyAlignment="1" applyProtection="1"/>
    <xf numFmtId="0" fontId="36" fillId="5" borderId="0" xfId="0" applyFont="1" applyFill="1"/>
    <xf numFmtId="0" fontId="0" fillId="0" borderId="0" xfId="0" quotePrefix="1"/>
    <xf numFmtId="169" fontId="34" fillId="5" borderId="0" xfId="0" applyNumberFormat="1" applyFont="1" applyFill="1"/>
    <xf numFmtId="167" fontId="17" fillId="0" borderId="15" xfId="1" applyNumberFormat="1" applyFill="1" applyBorder="1" applyAlignment="1" applyProtection="1"/>
    <xf numFmtId="166" fontId="37" fillId="4" borderId="0" xfId="1" applyFont="1" applyFill="1" applyBorder="1" applyAlignment="1">
      <alignment horizontal="left" vertical="center"/>
    </xf>
    <xf numFmtId="0" fontId="38" fillId="5" borderId="0" xfId="0" applyFont="1" applyFill="1" applyAlignment="1">
      <alignment horizontal="center"/>
    </xf>
    <xf numFmtId="0" fontId="38" fillId="4" borderId="0" xfId="0" applyFont="1" applyFill="1" applyAlignment="1">
      <alignment horizontal="center"/>
    </xf>
    <xf numFmtId="0" fontId="8" fillId="0" borderId="7" xfId="0" applyFont="1" applyBorder="1" applyAlignment="1">
      <alignment horizontal="justify" wrapText="1"/>
    </xf>
    <xf numFmtId="0" fontId="8" fillId="0" borderId="0" xfId="0" applyFont="1" applyAlignment="1">
      <alignment horizontal="justify" wrapText="1"/>
    </xf>
    <xf numFmtId="0" fontId="5" fillId="7" borderId="0" xfId="0" applyFont="1" applyFill="1"/>
    <xf numFmtId="0" fontId="1" fillId="7" borderId="0" xfId="0" applyFont="1" applyFill="1"/>
    <xf numFmtId="0" fontId="0" fillId="7" borderId="0" xfId="0" applyFill="1"/>
    <xf numFmtId="0" fontId="39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center" vertical="center"/>
    </xf>
    <xf numFmtId="17" fontId="10" fillId="4" borderId="0" xfId="0" applyNumberFormat="1" applyFont="1" applyFill="1" applyAlignment="1">
      <alignment horizontal="center" vertical="center"/>
    </xf>
    <xf numFmtId="17" fontId="10" fillId="4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0" fillId="0" borderId="14" xfId="0" applyBorder="1" applyAlignment="1">
      <alignment horizontal="center"/>
    </xf>
    <xf numFmtId="168" fontId="0" fillId="0" borderId="14" xfId="0" applyNumberFormat="1" applyBorder="1"/>
    <xf numFmtId="0" fontId="10" fillId="4" borderId="0" xfId="0" applyFont="1" applyFill="1" applyAlignment="1">
      <alignment horizontal="left"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166" fontId="17" fillId="0" borderId="0" xfId="1" applyProtection="1"/>
    <xf numFmtId="0" fontId="43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left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justify"/>
    </xf>
    <xf numFmtId="0" fontId="2" fillId="4" borderId="16" xfId="0" applyFont="1" applyFill="1" applyBorder="1" applyAlignment="1">
      <alignment horizontal="center" vertical="center"/>
    </xf>
    <xf numFmtId="0" fontId="45" fillId="0" borderId="0" xfId="0" applyFont="1"/>
    <xf numFmtId="0" fontId="36" fillId="0" borderId="0" xfId="0" applyFont="1" applyAlignment="1">
      <alignment horizontal="left" vertical="center"/>
    </xf>
    <xf numFmtId="165" fontId="36" fillId="4" borderId="0" xfId="1" applyNumberFormat="1" applyFont="1" applyFill="1" applyBorder="1" applyAlignment="1" applyProtection="1">
      <alignment horizontal="left" vertical="center"/>
    </xf>
    <xf numFmtId="165" fontId="36" fillId="4" borderId="0" xfId="1" applyNumberFormat="1" applyFont="1" applyFill="1" applyBorder="1" applyAlignment="1" applyProtection="1">
      <alignment horizontal="center" vertical="center"/>
    </xf>
    <xf numFmtId="0" fontId="46" fillId="0" borderId="0" xfId="0" applyFont="1" applyAlignment="1">
      <alignment horizontal="center"/>
    </xf>
    <xf numFmtId="17" fontId="1" fillId="4" borderId="0" xfId="0" applyNumberFormat="1" applyFont="1" applyFill="1"/>
    <xf numFmtId="0" fontId="24" fillId="0" borderId="0" xfId="0" applyFont="1"/>
    <xf numFmtId="0" fontId="47" fillId="0" borderId="0" xfId="0" applyFont="1"/>
    <xf numFmtId="167" fontId="17" fillId="0" borderId="17" xfId="1" applyNumberFormat="1" applyFill="1" applyBorder="1" applyAlignment="1" applyProtection="1"/>
    <xf numFmtId="0" fontId="15" fillId="4" borderId="0" xfId="0" applyFont="1" applyFill="1"/>
    <xf numFmtId="167" fontId="2" fillId="4" borderId="0" xfId="1" applyNumberFormat="1" applyFont="1" applyFill="1" applyBorder="1" applyAlignment="1" applyProtection="1"/>
    <xf numFmtId="0" fontId="23" fillId="0" borderId="0" xfId="0" applyFont="1"/>
    <xf numFmtId="0" fontId="15" fillId="4" borderId="0" xfId="0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35" fillId="5" borderId="0" xfId="0" applyFont="1" applyFill="1"/>
    <xf numFmtId="0" fontId="15" fillId="0" borderId="0" xfId="0" applyFont="1"/>
    <xf numFmtId="167" fontId="2" fillId="0" borderId="0" xfId="1" applyNumberFormat="1" applyFont="1" applyFill="1" applyBorder="1" applyAlignment="1" applyProtection="1"/>
    <xf numFmtId="167" fontId="17" fillId="8" borderId="14" xfId="1" applyNumberFormat="1" applyFill="1" applyBorder="1" applyAlignment="1" applyProtection="1"/>
    <xf numFmtId="167" fontId="3" fillId="9" borderId="14" xfId="1" applyNumberFormat="1" applyFont="1" applyFill="1" applyBorder="1" applyAlignment="1" applyProtection="1"/>
    <xf numFmtId="167" fontId="3" fillId="9" borderId="17" xfId="1" applyNumberFormat="1" applyFont="1" applyFill="1" applyBorder="1" applyAlignment="1" applyProtection="1"/>
    <xf numFmtId="166" fontId="17" fillId="0" borderId="17" xfId="1" applyFill="1" applyBorder="1" applyAlignment="1" applyProtection="1"/>
    <xf numFmtId="166" fontId="2" fillId="4" borderId="0" xfId="1" applyFont="1" applyFill="1" applyBorder="1" applyAlignment="1" applyProtection="1"/>
    <xf numFmtId="166" fontId="13" fillId="9" borderId="14" xfId="1" applyFont="1" applyFill="1" applyBorder="1" applyAlignment="1" applyProtection="1"/>
    <xf numFmtId="167" fontId="17" fillId="9" borderId="14" xfId="1" applyNumberFormat="1" applyFill="1" applyBorder="1" applyAlignment="1" applyProtection="1"/>
    <xf numFmtId="0" fontId="20" fillId="9" borderId="14" xfId="0" applyFont="1" applyFill="1" applyBorder="1"/>
    <xf numFmtId="0" fontId="34" fillId="10" borderId="0" xfId="0" applyFont="1" applyFill="1"/>
    <xf numFmtId="169" fontId="34" fillId="10" borderId="0" xfId="0" applyNumberFormat="1" applyFont="1" applyFill="1"/>
    <xf numFmtId="166" fontId="34" fillId="11" borderId="0" xfId="0" applyNumberFormat="1" applyFont="1" applyFill="1"/>
    <xf numFmtId="0" fontId="34" fillId="11" borderId="0" xfId="0" applyFont="1" applyFill="1"/>
    <xf numFmtId="0" fontId="20" fillId="12" borderId="0" xfId="0" applyFont="1" applyFill="1"/>
    <xf numFmtId="167" fontId="13" fillId="12" borderId="0" xfId="1" applyNumberFormat="1" applyFont="1" applyFill="1" applyBorder="1" applyAlignment="1" applyProtection="1"/>
    <xf numFmtId="0" fontId="35" fillId="10" borderId="0" xfId="0" applyFont="1" applyFill="1"/>
    <xf numFmtId="0" fontId="10" fillId="4" borderId="18" xfId="0" applyFont="1" applyFill="1" applyBorder="1" applyAlignment="1">
      <alignment vertical="center"/>
    </xf>
    <xf numFmtId="0" fontId="10" fillId="4" borderId="18" xfId="0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25" fillId="13" borderId="0" xfId="0" applyFont="1" applyFill="1"/>
    <xf numFmtId="0" fontId="16" fillId="11" borderId="0" xfId="0" applyFont="1" applyFill="1"/>
    <xf numFmtId="165" fontId="3" fillId="0" borderId="14" xfId="1" applyNumberFormat="1" applyFont="1" applyFill="1" applyBorder="1" applyAlignment="1" applyProtection="1"/>
    <xf numFmtId="0" fontId="36" fillId="5" borderId="0" xfId="0" applyFont="1" applyFill="1" applyAlignment="1">
      <alignment horizontal="center"/>
    </xf>
    <xf numFmtId="166" fontId="17" fillId="0" borderId="19" xfId="1" applyBorder="1"/>
    <xf numFmtId="166" fontId="17" fillId="0" borderId="19" xfId="1" applyFill="1" applyBorder="1"/>
    <xf numFmtId="166" fontId="17" fillId="0" borderId="19" xfId="1" applyFill="1" applyBorder="1" applyAlignment="1" applyProtection="1"/>
    <xf numFmtId="166" fontId="12" fillId="0" borderId="19" xfId="1" applyFont="1" applyFill="1" applyBorder="1" applyAlignment="1" applyProtection="1"/>
    <xf numFmtId="166" fontId="17" fillId="0" borderId="20" xfId="1" applyBorder="1"/>
    <xf numFmtId="166" fontId="17" fillId="0" borderId="20" xfId="1" applyFill="1" applyBorder="1"/>
    <xf numFmtId="166" fontId="17" fillId="0" borderId="20" xfId="1" applyFill="1" applyBorder="1" applyAlignment="1" applyProtection="1"/>
    <xf numFmtId="166" fontId="12" fillId="0" borderId="20" xfId="1" applyFont="1" applyFill="1" applyBorder="1" applyAlignment="1" applyProtection="1"/>
    <xf numFmtId="0" fontId="0" fillId="0" borderId="19" xfId="0" applyBorder="1"/>
    <xf numFmtId="0" fontId="19" fillId="0" borderId="19" xfId="0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5" fillId="4" borderId="21" xfId="0" applyFont="1" applyFill="1" applyBorder="1" applyAlignment="1">
      <alignment horizontal="justify" vertical="top"/>
    </xf>
    <xf numFmtId="0" fontId="50" fillId="0" borderId="0" xfId="0" applyFont="1"/>
    <xf numFmtId="39" fontId="0" fillId="0" borderId="0" xfId="0" applyNumberFormat="1"/>
    <xf numFmtId="39" fontId="17" fillId="0" borderId="17" xfId="1" applyNumberFormat="1" applyFill="1" applyBorder="1" applyAlignment="1" applyProtection="1"/>
    <xf numFmtId="39" fontId="37" fillId="4" borderId="0" xfId="1" applyNumberFormat="1" applyFont="1" applyFill="1" applyBorder="1" applyAlignment="1">
      <alignment horizontal="left" vertical="center"/>
    </xf>
    <xf numFmtId="39" fontId="17" fillId="8" borderId="14" xfId="1" applyNumberFormat="1" applyFill="1" applyBorder="1" applyAlignment="1" applyProtection="1"/>
    <xf numFmtId="0" fontId="27" fillId="0" borderId="0" xfId="0" applyFont="1" applyAlignment="1">
      <alignment horizontal="center"/>
    </xf>
    <xf numFmtId="0" fontId="49" fillId="11" borderId="0" xfId="0" applyFont="1" applyFill="1" applyAlignment="1">
      <alignment horizontal="center" vertical="center"/>
    </xf>
    <xf numFmtId="0" fontId="28" fillId="13" borderId="0" xfId="0" applyFont="1" applyFill="1"/>
    <xf numFmtId="0" fontId="28" fillId="0" borderId="0" xfId="0" applyFont="1"/>
    <xf numFmtId="0" fontId="29" fillId="0" borderId="0" xfId="0" applyFont="1"/>
    <xf numFmtId="0" fontId="29" fillId="11" borderId="0" xfId="0" applyFont="1" applyFill="1"/>
    <xf numFmtId="0" fontId="51" fillId="11" borderId="0" xfId="0" applyFont="1" applyFill="1" applyAlignment="1">
      <alignment horizontal="right"/>
    </xf>
    <xf numFmtId="166" fontId="17" fillId="0" borderId="14" xfId="1" applyFill="1" applyBorder="1" applyAlignment="1" applyProtection="1">
      <alignment horizontal="left"/>
    </xf>
    <xf numFmtId="0" fontId="52" fillId="0" borderId="0" xfId="0" applyFont="1"/>
    <xf numFmtId="0" fontId="53" fillId="0" borderId="0" xfId="0" applyFont="1"/>
    <xf numFmtId="0" fontId="54" fillId="0" borderId="0" xfId="0" applyFont="1"/>
    <xf numFmtId="0" fontId="26" fillId="0" borderId="0" xfId="0" applyFont="1" applyAlignment="1">
      <alignment horizontal="left" vertical="center"/>
    </xf>
    <xf numFmtId="0" fontId="55" fillId="0" borderId="0" xfId="0" applyFont="1" applyAlignment="1">
      <alignment horizontal="left" vertical="center"/>
    </xf>
    <xf numFmtId="164" fontId="13" fillId="0" borderId="0" xfId="0" applyNumberFormat="1" applyFont="1"/>
    <xf numFmtId="0" fontId="56" fillId="3" borderId="0" xfId="0" applyFont="1" applyFill="1" applyAlignment="1">
      <alignment vertical="center"/>
    </xf>
    <xf numFmtId="0" fontId="57" fillId="0" borderId="0" xfId="0" applyFont="1" applyAlignment="1">
      <alignment vertical="center"/>
    </xf>
    <xf numFmtId="0" fontId="56" fillId="3" borderId="0" xfId="0" applyFont="1" applyFill="1" applyAlignment="1">
      <alignment horizontal="center" vertical="center"/>
    </xf>
    <xf numFmtId="0" fontId="43" fillId="3" borderId="0" xfId="0" applyFont="1" applyFill="1" applyAlignment="1">
      <alignment horizontal="left" vertical="center"/>
    </xf>
    <xf numFmtId="0" fontId="56" fillId="3" borderId="0" xfId="0" applyFont="1" applyFill="1" applyAlignment="1">
      <alignment horizontal="right" vertical="center"/>
    </xf>
    <xf numFmtId="166" fontId="12" fillId="9" borderId="14" xfId="1" applyFont="1" applyFill="1" applyBorder="1" applyAlignment="1" applyProtection="1"/>
    <xf numFmtId="166" fontId="17" fillId="9" borderId="14" xfId="1" applyFill="1" applyBorder="1" applyAlignment="1" applyProtection="1"/>
    <xf numFmtId="166" fontId="3" fillId="9" borderId="14" xfId="1" applyFont="1" applyFill="1" applyBorder="1" applyAlignment="1" applyProtection="1"/>
    <xf numFmtId="0" fontId="15" fillId="4" borderId="21" xfId="0" applyFont="1" applyFill="1" applyBorder="1" applyAlignment="1">
      <alignment vertical="top"/>
    </xf>
    <xf numFmtId="165" fontId="17" fillId="8" borderId="14" xfId="1" applyNumberFormat="1" applyFill="1" applyBorder="1" applyAlignment="1" applyProtection="1"/>
    <xf numFmtId="17" fontId="15" fillId="4" borderId="0" xfId="0" applyNumberFormat="1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49" fontId="17" fillId="0" borderId="14" xfId="1" applyNumberFormat="1" applyFill="1" applyBorder="1" applyAlignment="1" applyProtection="1"/>
    <xf numFmtId="166" fontId="17" fillId="14" borderId="14" xfId="1" applyFill="1" applyBorder="1" applyAlignment="1" applyProtection="1"/>
    <xf numFmtId="17" fontId="15" fillId="0" borderId="0" xfId="0" applyNumberFormat="1" applyFont="1" applyAlignment="1">
      <alignment horizontal="center" vertical="center"/>
    </xf>
    <xf numFmtId="17" fontId="15" fillId="4" borderId="0" xfId="0" applyNumberFormat="1" applyFont="1" applyFill="1" applyAlignment="1">
      <alignment horizontal="center"/>
    </xf>
    <xf numFmtId="17" fontId="15" fillId="4" borderId="0" xfId="0" applyNumberFormat="1" applyFont="1" applyFill="1" applyAlignment="1">
      <alignment horizontal="left" vertical="center"/>
    </xf>
    <xf numFmtId="166" fontId="17" fillId="6" borderId="15" xfId="1" applyFill="1" applyBorder="1" applyAlignment="1" applyProtection="1"/>
    <xf numFmtId="166" fontId="17" fillId="0" borderId="15" xfId="1" applyFill="1" applyBorder="1" applyAlignment="1" applyProtection="1">
      <alignment horizontal="left"/>
    </xf>
    <xf numFmtId="168" fontId="0" fillId="0" borderId="0" xfId="0" applyNumberFormat="1"/>
    <xf numFmtId="49" fontId="17" fillId="0" borderId="0" xfId="1" applyNumberFormat="1" applyFill="1" applyBorder="1" applyAlignment="1" applyProtection="1"/>
    <xf numFmtId="166" fontId="17" fillId="0" borderId="0" xfId="1" applyFill="1" applyBorder="1" applyAlignment="1" applyProtection="1"/>
    <xf numFmtId="166" fontId="17" fillId="6" borderId="0" xfId="1" applyFill="1" applyBorder="1" applyAlignment="1" applyProtection="1"/>
    <xf numFmtId="166" fontId="17" fillId="0" borderId="0" xfId="1" applyFill="1" applyBorder="1" applyAlignment="1" applyProtection="1">
      <alignment horizontal="left"/>
    </xf>
    <xf numFmtId="166" fontId="17" fillId="9" borderId="22" xfId="1" applyFill="1" applyBorder="1" applyAlignment="1" applyProtection="1"/>
    <xf numFmtId="49" fontId="17" fillId="0" borderId="15" xfId="1" applyNumberFormat="1" applyFill="1" applyBorder="1" applyAlignment="1" applyProtection="1"/>
    <xf numFmtId="168" fontId="0" fillId="0" borderId="23" xfId="0" applyNumberFormat="1" applyBorder="1"/>
    <xf numFmtId="0" fontId="15" fillId="0" borderId="0" xfId="0" applyFont="1" applyAlignment="1">
      <alignment horizontal="center" vertical="center"/>
    </xf>
    <xf numFmtId="17" fontId="15" fillId="0" borderId="0" xfId="0" applyNumberFormat="1" applyFont="1" applyAlignment="1">
      <alignment horizontal="left" vertical="center"/>
    </xf>
    <xf numFmtId="17" fontId="15" fillId="0" borderId="0" xfId="0" applyNumberFormat="1" applyFont="1" applyAlignment="1">
      <alignment horizontal="center"/>
    </xf>
    <xf numFmtId="168" fontId="0" fillId="0" borderId="17" xfId="0" applyNumberFormat="1" applyBorder="1"/>
    <xf numFmtId="49" fontId="17" fillId="0" borderId="17" xfId="1" applyNumberFormat="1" applyFill="1" applyBorder="1" applyAlignment="1" applyProtection="1"/>
    <xf numFmtId="166" fontId="17" fillId="0" borderId="17" xfId="1" applyFill="1" applyBorder="1" applyAlignment="1" applyProtection="1">
      <alignment horizontal="left"/>
    </xf>
    <xf numFmtId="166" fontId="17" fillId="6" borderId="17" xfId="1" applyFill="1" applyBorder="1" applyAlignment="1" applyProtection="1"/>
    <xf numFmtId="166" fontId="17" fillId="9" borderId="24" xfId="1" applyFill="1" applyBorder="1" applyAlignment="1" applyProtection="1"/>
    <xf numFmtId="49" fontId="3" fillId="0" borderId="25" xfId="1" applyNumberFormat="1" applyFont="1" applyFill="1" applyBorder="1" applyAlignment="1" applyProtection="1"/>
    <xf numFmtId="166" fontId="17" fillId="8" borderId="17" xfId="1" applyFill="1" applyBorder="1" applyAlignment="1" applyProtection="1"/>
    <xf numFmtId="166" fontId="17" fillId="8" borderId="14" xfId="1" applyFill="1" applyBorder="1" applyAlignment="1" applyProtection="1"/>
    <xf numFmtId="166" fontId="17" fillId="8" borderId="14" xfId="1" applyFill="1" applyBorder="1" applyAlignment="1" applyProtection="1">
      <alignment horizontal="left"/>
    </xf>
    <xf numFmtId="168" fontId="0" fillId="0" borderId="19" xfId="0" applyNumberFormat="1" applyBorder="1"/>
    <xf numFmtId="49" fontId="3" fillId="0" borderId="19" xfId="1" applyNumberFormat="1" applyFont="1" applyFill="1" applyBorder="1" applyAlignment="1" applyProtection="1"/>
    <xf numFmtId="0" fontId="15" fillId="4" borderId="26" xfId="0" applyFont="1" applyFill="1" applyBorder="1" applyAlignment="1">
      <alignment horizontal="center" vertical="center"/>
    </xf>
    <xf numFmtId="17" fontId="15" fillId="4" borderId="27" xfId="0" applyNumberFormat="1" applyFont="1" applyFill="1" applyBorder="1" applyAlignment="1">
      <alignment horizontal="left" vertical="center"/>
    </xf>
    <xf numFmtId="17" fontId="15" fillId="4" borderId="27" xfId="0" applyNumberFormat="1" applyFont="1" applyFill="1" applyBorder="1" applyAlignment="1">
      <alignment horizontal="center" vertical="center"/>
    </xf>
    <xf numFmtId="17" fontId="15" fillId="4" borderId="27" xfId="0" applyNumberFormat="1" applyFont="1" applyFill="1" applyBorder="1" applyAlignment="1">
      <alignment horizontal="center"/>
    </xf>
    <xf numFmtId="17" fontId="15" fillId="4" borderId="28" xfId="0" applyNumberFormat="1" applyFont="1" applyFill="1" applyBorder="1" applyAlignment="1">
      <alignment horizontal="center"/>
    </xf>
    <xf numFmtId="168" fontId="0" fillId="0" borderId="29" xfId="0" applyNumberFormat="1" applyBorder="1"/>
    <xf numFmtId="166" fontId="17" fillId="0" borderId="30" xfId="1" applyFill="1" applyBorder="1" applyAlignment="1" applyProtection="1"/>
    <xf numFmtId="49" fontId="0" fillId="0" borderId="0" xfId="0" applyNumberFormat="1"/>
    <xf numFmtId="168" fontId="0" fillId="0" borderId="31" xfId="0" applyNumberFormat="1" applyBorder="1"/>
    <xf numFmtId="168" fontId="0" fillId="0" borderId="32" xfId="0" applyNumberFormat="1" applyBorder="1"/>
    <xf numFmtId="168" fontId="0" fillId="0" borderId="33" xfId="0" applyNumberFormat="1" applyBorder="1"/>
    <xf numFmtId="166" fontId="17" fillId="0" borderId="34" xfId="1" applyFill="1" applyBorder="1" applyAlignment="1" applyProtection="1"/>
    <xf numFmtId="166" fontId="17" fillId="0" borderId="35" xfId="1" applyFill="1" applyBorder="1" applyAlignment="1" applyProtection="1"/>
    <xf numFmtId="0" fontId="15" fillId="4" borderId="20" xfId="0" applyFont="1" applyFill="1" applyBorder="1" applyAlignment="1">
      <alignment horizontal="center" vertical="center"/>
    </xf>
    <xf numFmtId="17" fontId="15" fillId="4" borderId="36" xfId="0" applyNumberFormat="1" applyFont="1" applyFill="1" applyBorder="1" applyAlignment="1">
      <alignment horizontal="left" vertical="center"/>
    </xf>
    <xf numFmtId="17" fontId="35" fillId="4" borderId="36" xfId="0" applyNumberFormat="1" applyFont="1" applyFill="1" applyBorder="1" applyAlignment="1">
      <alignment horizontal="center" vertical="center"/>
    </xf>
    <xf numFmtId="166" fontId="34" fillId="4" borderId="36" xfId="1" applyFont="1" applyFill="1" applyBorder="1" applyAlignment="1" applyProtection="1">
      <alignment horizontal="center"/>
    </xf>
    <xf numFmtId="168" fontId="0" fillId="0" borderId="37" xfId="0" applyNumberFormat="1" applyBorder="1"/>
    <xf numFmtId="166" fontId="17" fillId="8" borderId="38" xfId="1" applyFill="1" applyBorder="1" applyAlignment="1" applyProtection="1"/>
    <xf numFmtId="166" fontId="17" fillId="0" borderId="39" xfId="1" applyFill="1" applyBorder="1" applyAlignment="1" applyProtection="1"/>
    <xf numFmtId="166" fontId="17" fillId="9" borderId="23" xfId="1" applyFill="1" applyBorder="1" applyAlignment="1" applyProtection="1"/>
    <xf numFmtId="166" fontId="17" fillId="9" borderId="25" xfId="1" applyFill="1" applyBorder="1" applyAlignment="1" applyProtection="1"/>
    <xf numFmtId="49" fontId="17" fillId="0" borderId="40" xfId="1" applyNumberFormat="1" applyFill="1" applyBorder="1" applyAlignment="1" applyProtection="1"/>
    <xf numFmtId="49" fontId="17" fillId="0" borderId="41" xfId="1" applyNumberFormat="1" applyFill="1" applyBorder="1" applyAlignment="1" applyProtection="1"/>
    <xf numFmtId="49" fontId="3" fillId="0" borderId="42" xfId="1" applyNumberFormat="1" applyFont="1" applyFill="1" applyBorder="1" applyAlignment="1" applyProtection="1"/>
    <xf numFmtId="166" fontId="17" fillId="8" borderId="22" xfId="1" applyFill="1" applyBorder="1" applyAlignment="1" applyProtection="1"/>
    <xf numFmtId="166" fontId="17" fillId="8" borderId="43" xfId="1" applyFill="1" applyBorder="1" applyAlignment="1" applyProtection="1"/>
    <xf numFmtId="166" fontId="17" fillId="0" borderId="44" xfId="1" applyFill="1" applyBorder="1" applyAlignment="1" applyProtection="1"/>
    <xf numFmtId="166" fontId="17" fillId="0" borderId="45" xfId="1" applyFill="1" applyBorder="1" applyAlignment="1" applyProtection="1"/>
    <xf numFmtId="166" fontId="17" fillId="0" borderId="46" xfId="1" applyFill="1" applyBorder="1" applyAlignment="1" applyProtection="1"/>
    <xf numFmtId="166" fontId="17" fillId="0" borderId="47" xfId="1" applyFill="1" applyBorder="1" applyAlignment="1" applyProtection="1"/>
    <xf numFmtId="17" fontId="15" fillId="4" borderId="0" xfId="0" applyNumberFormat="1" applyFont="1" applyFill="1" applyAlignment="1">
      <alignment horizontal="left"/>
    </xf>
    <xf numFmtId="0" fontId="43" fillId="6" borderId="0" xfId="0" applyFont="1" applyFill="1" applyAlignment="1">
      <alignment horizontal="center" vertical="center"/>
    </xf>
    <xf numFmtId="0" fontId="54" fillId="6" borderId="0" xfId="0" applyFont="1" applyFill="1"/>
    <xf numFmtId="0" fontId="44" fillId="6" borderId="0" xfId="0" applyFont="1" applyFill="1" applyAlignment="1">
      <alignment horizontal="left"/>
    </xf>
    <xf numFmtId="0" fontId="43" fillId="6" borderId="0" xfId="0" applyFont="1" applyFill="1" applyAlignment="1">
      <alignment vertical="center"/>
    </xf>
    <xf numFmtId="0" fontId="0" fillId="11" borderId="0" xfId="0" applyFill="1"/>
    <xf numFmtId="0" fontId="43" fillId="6" borderId="0" xfId="0" applyFont="1" applyFill="1" applyAlignment="1">
      <alignment horizontal="left" vertical="center"/>
    </xf>
    <xf numFmtId="17" fontId="15" fillId="4" borderId="0" xfId="0" applyNumberFormat="1" applyFont="1" applyFill="1" applyAlignment="1">
      <alignment horizontal="justify" vertical="center"/>
    </xf>
    <xf numFmtId="49" fontId="0" fillId="0" borderId="14" xfId="0" applyNumberFormat="1" applyBorder="1" applyAlignment="1">
      <alignment horizontal="right"/>
    </xf>
    <xf numFmtId="0" fontId="17" fillId="15" borderId="14" xfId="1" applyNumberFormat="1" applyFill="1" applyBorder="1" applyAlignment="1" applyProtection="1"/>
    <xf numFmtId="0" fontId="30" fillId="0" borderId="0" xfId="0" applyFont="1"/>
    <xf numFmtId="166" fontId="35" fillId="4" borderId="0" xfId="1" applyFont="1" applyFill="1" applyBorder="1" applyAlignment="1" applyProtection="1">
      <alignment horizontal="center"/>
    </xf>
    <xf numFmtId="0" fontId="51" fillId="11" borderId="0" xfId="0" applyFont="1" applyFill="1" applyAlignment="1">
      <alignment horizontal="center"/>
    </xf>
    <xf numFmtId="39" fontId="17" fillId="8" borderId="17" xfId="1" applyNumberFormat="1" applyFill="1" applyBorder="1" applyAlignment="1" applyProtection="1"/>
    <xf numFmtId="39" fontId="0" fillId="0" borderId="19" xfId="0" applyNumberFormat="1" applyBorder="1"/>
    <xf numFmtId="0" fontId="58" fillId="0" borderId="0" xfId="0" applyFont="1"/>
    <xf numFmtId="9" fontId="17" fillId="0" borderId="19" xfId="2" applyBorder="1" applyAlignment="1">
      <alignment horizontal="center"/>
    </xf>
    <xf numFmtId="9" fontId="17" fillId="8" borderId="19" xfId="2" applyFill="1" applyBorder="1" applyAlignment="1">
      <alignment horizontal="center"/>
    </xf>
    <xf numFmtId="166" fontId="17" fillId="14" borderId="14" xfId="1" applyFill="1" applyBorder="1" applyAlignment="1" applyProtection="1">
      <alignment horizontal="left"/>
    </xf>
    <xf numFmtId="166" fontId="17" fillId="15" borderId="14" xfId="1" applyFill="1" applyBorder="1" applyAlignment="1" applyProtection="1"/>
    <xf numFmtId="166" fontId="17" fillId="4" borderId="0" xfId="1" applyFill="1" applyBorder="1" applyAlignment="1" applyProtection="1">
      <alignment horizontal="center"/>
    </xf>
    <xf numFmtId="0" fontId="33" fillId="0" borderId="0" xfId="0" applyFont="1" applyAlignment="1">
      <alignment vertical="center" readingOrder="1"/>
    </xf>
    <xf numFmtId="0" fontId="0" fillId="0" borderId="48" xfId="0" applyBorder="1"/>
    <xf numFmtId="0" fontId="0" fillId="0" borderId="0" xfId="0" applyAlignment="1">
      <alignment vertical="center" readingOrder="1"/>
    </xf>
    <xf numFmtId="0" fontId="3" fillId="0" borderId="49" xfId="0" applyFont="1" applyBorder="1" applyAlignment="1">
      <alignment vertical="center" readingOrder="1"/>
    </xf>
    <xf numFmtId="0" fontId="0" fillId="0" borderId="49" xfId="0" applyBorder="1"/>
    <xf numFmtId="0" fontId="0" fillId="0" borderId="50" xfId="0" applyBorder="1"/>
    <xf numFmtId="0" fontId="0" fillId="16" borderId="51" xfId="0" applyFill="1" applyBorder="1"/>
    <xf numFmtId="0" fontId="0" fillId="16" borderId="52" xfId="0" applyFill="1" applyBorder="1"/>
    <xf numFmtId="0" fontId="0" fillId="16" borderId="53" xfId="0" applyFill="1" applyBorder="1"/>
    <xf numFmtId="9" fontId="17" fillId="8" borderId="17" xfId="2" applyFill="1" applyBorder="1" applyAlignment="1" applyProtection="1">
      <alignment horizontal="center"/>
    </xf>
    <xf numFmtId="39" fontId="34" fillId="4" borderId="0" xfId="1" applyNumberFormat="1" applyFont="1" applyFill="1" applyBorder="1" applyAlignment="1">
      <alignment horizontal="center" vertical="center"/>
    </xf>
    <xf numFmtId="40" fontId="17" fillId="0" borderId="17" xfId="1" applyNumberFormat="1" applyFill="1" applyBorder="1" applyAlignment="1" applyProtection="1"/>
    <xf numFmtId="40" fontId="37" fillId="4" borderId="0" xfId="1" applyNumberFormat="1" applyFont="1" applyFill="1" applyBorder="1" applyAlignment="1">
      <alignment horizontal="left" vertical="center"/>
    </xf>
    <xf numFmtId="40" fontId="17" fillId="8" borderId="17" xfId="1" applyNumberFormat="1" applyFill="1" applyBorder="1" applyAlignment="1" applyProtection="1"/>
    <xf numFmtId="40" fontId="2" fillId="4" borderId="0" xfId="1" applyNumberFormat="1" applyFont="1" applyFill="1" applyBorder="1" applyAlignment="1" applyProtection="1"/>
    <xf numFmtId="40" fontId="17" fillId="6" borderId="22" xfId="1" applyNumberFormat="1" applyFill="1" applyBorder="1" applyAlignment="1" applyProtection="1"/>
    <xf numFmtId="40" fontId="17" fillId="6" borderId="14" xfId="1" applyNumberFormat="1" applyFill="1" applyBorder="1" applyAlignment="1" applyProtection="1"/>
    <xf numFmtId="40" fontId="17" fillId="9" borderId="22" xfId="1" applyNumberFormat="1" applyFill="1" applyBorder="1" applyAlignment="1" applyProtection="1"/>
    <xf numFmtId="40" fontId="17" fillId="9" borderId="14" xfId="1" applyNumberFormat="1" applyFill="1" applyBorder="1" applyAlignment="1" applyProtection="1"/>
    <xf numFmtId="0" fontId="59" fillId="0" borderId="0" xfId="0" applyFont="1"/>
    <xf numFmtId="164" fontId="59" fillId="0" borderId="0" xfId="0" applyNumberFormat="1" applyFont="1"/>
    <xf numFmtId="165" fontId="0" fillId="0" borderId="0" xfId="0" applyNumberFormat="1"/>
    <xf numFmtId="0" fontId="11" fillId="17" borderId="56" xfId="0" applyFont="1" applyFill="1" applyBorder="1" applyProtection="1">
      <protection locked="0"/>
    </xf>
    <xf numFmtId="0" fontId="64" fillId="10" borderId="0" xfId="0" applyFont="1" applyFill="1" applyAlignment="1">
      <alignment horizontal="center" vertical="center"/>
    </xf>
    <xf numFmtId="0" fontId="63" fillId="18" borderId="54" xfId="0" applyFont="1" applyFill="1" applyBorder="1" applyAlignment="1">
      <alignment horizontal="center" vertical="center"/>
    </xf>
    <xf numFmtId="0" fontId="60" fillId="5" borderId="54" xfId="0" applyFont="1" applyFill="1" applyBorder="1" applyAlignment="1">
      <alignment horizontal="center" vertical="center"/>
    </xf>
    <xf numFmtId="0" fontId="60" fillId="5" borderId="5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justify"/>
    </xf>
    <xf numFmtId="0" fontId="0" fillId="0" borderId="13" xfId="0" applyBorder="1" applyAlignment="1">
      <alignment horizontal="justify"/>
    </xf>
    <xf numFmtId="0" fontId="0" fillId="0" borderId="0" xfId="0"/>
    <xf numFmtId="0" fontId="0" fillId="0" borderId="7" xfId="0" applyBorder="1"/>
    <xf numFmtId="0" fontId="8" fillId="0" borderId="12" xfId="0" applyFont="1" applyBorder="1" applyAlignment="1">
      <alignment horizontal="justify" wrapText="1"/>
    </xf>
    <xf numFmtId="0" fontId="0" fillId="0" borderId="13" xfId="0" applyBorder="1" applyAlignment="1">
      <alignment horizontal="justify" wrapText="1"/>
    </xf>
    <xf numFmtId="0" fontId="3" fillId="0" borderId="13" xfId="0" applyFont="1" applyBorder="1" applyAlignment="1">
      <alignment horizontal="justify" wrapText="1"/>
    </xf>
    <xf numFmtId="0" fontId="8" fillId="0" borderId="13" xfId="0" applyFont="1" applyBorder="1" applyAlignment="1">
      <alignment horizontal="justify" wrapText="1"/>
    </xf>
    <xf numFmtId="0" fontId="3" fillId="0" borderId="11" xfId="0" applyFont="1" applyBorder="1" applyAlignment="1">
      <alignment horizontal="justify" wrapText="1"/>
    </xf>
    <xf numFmtId="0" fontId="3" fillId="0" borderId="0" xfId="0" applyFont="1" applyAlignment="1">
      <alignment horizontal="justify" wrapText="1"/>
    </xf>
    <xf numFmtId="0" fontId="3" fillId="0" borderId="7" xfId="0" applyFont="1" applyBorder="1" applyAlignment="1">
      <alignment horizontal="justify" wrapText="1"/>
    </xf>
    <xf numFmtId="0" fontId="17" fillId="0" borderId="13" xfId="0" applyFont="1" applyBorder="1" applyAlignment="1">
      <alignment horizontal="justify" wrapText="1"/>
    </xf>
    <xf numFmtId="17" fontId="10" fillId="4" borderId="0" xfId="0" applyNumberFormat="1" applyFont="1" applyFill="1" applyAlignment="1">
      <alignment horizontal="center"/>
    </xf>
    <xf numFmtId="0" fontId="15" fillId="4" borderId="0" xfId="0" applyFont="1" applyFill="1" applyAlignment="1">
      <alignment horizontal="justify" vertical="top"/>
    </xf>
    <xf numFmtId="0" fontId="56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61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61" fillId="0" borderId="0" xfId="0" applyFont="1" applyAlignment="1">
      <alignment horizontal="center" vertical="center"/>
    </xf>
    <xf numFmtId="0" fontId="2" fillId="4" borderId="0" xfId="0" applyFont="1" applyFill="1" applyAlignment="1">
      <alignment horizontal="justify" vertical="center"/>
    </xf>
    <xf numFmtId="0" fontId="61" fillId="11" borderId="0" xfId="0" applyFont="1" applyFill="1" applyAlignment="1">
      <alignment horizontal="center" vertical="center"/>
    </xf>
    <xf numFmtId="0" fontId="61" fillId="0" borderId="0" xfId="0" applyFont="1" applyAlignment="1">
      <alignment horizontal="right" vertical="center"/>
    </xf>
    <xf numFmtId="0" fontId="62" fillId="5" borderId="0" xfId="0" applyFont="1" applyFill="1" applyAlignment="1">
      <alignment horizontal="center" vertical="center"/>
    </xf>
  </cellXfs>
  <cellStyles count="5">
    <cellStyle name="Normal" xfId="0" builtinId="0"/>
    <cellStyle name="Porcentagem" xfId="2" builtinId="5"/>
    <cellStyle name="Título 5" xfId="3" xr:uid="{00000000-0005-0000-0000-000002000000}"/>
    <cellStyle name="Total" xfId="4" builtinId="25" customBuiltin="1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Evolução da</a:t>
            </a:r>
            <a:r>
              <a:rPr lang="pt-BR" baseline="0"/>
              <a:t> receita e despesa em 2026</a:t>
            </a:r>
            <a:endParaRPr lang="pt-BR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Previsão!$B$86</c:f>
              <c:strCache>
                <c:ptCount val="1"/>
                <c:pt idx="0">
                  <c:v> Receita </c:v>
                </c:pt>
              </c:strCache>
            </c:strRef>
          </c:tx>
          <c:marker>
            <c:symbol val="none"/>
          </c:marker>
          <c:val>
            <c:numRef>
              <c:f>Previsão!$C$86:$N$86</c:f>
              <c:numCache>
                <c:formatCode>_(* #,##0.00_);_(* \(#,##0.00\);_(* \-??_);_(@_)</c:formatCode>
                <c:ptCount val="12"/>
                <c:pt idx="0">
                  <c:v>560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88-49B4-BDFF-1EEBB38A25A1}"/>
            </c:ext>
          </c:extLst>
        </c:ser>
        <c:ser>
          <c:idx val="1"/>
          <c:order val="1"/>
          <c:tx>
            <c:strRef>
              <c:f>Previsão!$B$88</c:f>
              <c:strCache>
                <c:ptCount val="1"/>
                <c:pt idx="0">
                  <c:v> Total de Despesas </c:v>
                </c:pt>
              </c:strCache>
            </c:strRef>
          </c:tx>
          <c:marker>
            <c:symbol val="none"/>
          </c:marker>
          <c:val>
            <c:numRef>
              <c:f>Previsão!$C$88:$N$88</c:f>
              <c:numCache>
                <c:formatCode>_(* #,##0.00_);_(* \(#,##0.00\);_(* \-??_);_(@_)</c:formatCode>
                <c:ptCount val="12"/>
                <c:pt idx="0">
                  <c:v>550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88-49B4-BDFF-1EEBB38A2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052416"/>
        <c:axId val="160319744"/>
      </c:lineChart>
      <c:catAx>
        <c:axId val="1650524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60319744"/>
        <c:crosses val="autoZero"/>
        <c:auto val="1"/>
        <c:lblAlgn val="ctr"/>
        <c:lblOffset val="100"/>
        <c:noMultiLvlLbl val="0"/>
      </c:catAx>
      <c:valAx>
        <c:axId val="160319744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crossAx val="1650524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8" footer="0.31496062000000008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Composição</a:t>
            </a:r>
            <a:r>
              <a:rPr lang="pt-BR" baseline="0"/>
              <a:t> das Despesas</a:t>
            </a:r>
          </a:p>
          <a:p>
            <a:pPr>
              <a:defRPr/>
            </a:pPr>
            <a:r>
              <a:rPr lang="pt-BR" sz="1400" baseline="0"/>
              <a:t>(acumulado no ano)</a:t>
            </a:r>
            <a:endParaRPr lang="pt-BR" sz="1400"/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360494767457046E-2"/>
          <c:y val="0.27442546004869173"/>
          <c:w val="0.90724297442904989"/>
          <c:h val="0.69280196521395832"/>
        </c:manualLayout>
      </c:layout>
      <c:pie3D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Real!$B$89:$B$97</c:f>
              <c:strCache>
                <c:ptCount val="9"/>
                <c:pt idx="0">
                  <c:v> Alimentação </c:v>
                </c:pt>
                <c:pt idx="1">
                  <c:v> Moradia </c:v>
                </c:pt>
                <c:pt idx="2">
                  <c:v> Educação </c:v>
                </c:pt>
                <c:pt idx="3">
                  <c:v> Animal de Estimação </c:v>
                </c:pt>
                <c:pt idx="4">
                  <c:v> Saúde </c:v>
                </c:pt>
                <c:pt idx="5">
                  <c:v> Transporte </c:v>
                </c:pt>
                <c:pt idx="6">
                  <c:v> Pessoais </c:v>
                </c:pt>
                <c:pt idx="7">
                  <c:v> Lazer </c:v>
                </c:pt>
                <c:pt idx="8">
                  <c:v> Serviços Financeiros </c:v>
                </c:pt>
              </c:strCache>
            </c:strRef>
          </c:cat>
          <c:val>
            <c:numRef>
              <c:f>Real!$O$89:$O$97</c:f>
              <c:numCache>
                <c:formatCode>_(* #,##0.00_);_(* \(#,##0.00\);_(* \-??_);_(@_)</c:formatCode>
                <c:ptCount val="9"/>
                <c:pt idx="0">
                  <c:v>1150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15</c:v>
                </c:pt>
                <c:pt idx="7">
                  <c:v>0</c:v>
                </c:pt>
                <c:pt idx="8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1-4E22-9A7A-D75EC4C49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printSettings>
    <c:headerFooter/>
    <c:pageMargins b="0.78740157499999996" l="0.511811024" r="0.511811024" t="0.78740157499999996" header="0.31496062000000008" footer="0.31496062000000008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16" fmlaLink="A213" fmlaRange="Codigo!$F$3:$F$67" noThreeD="1" sel="5" val="0"/>
</file>

<file path=xl/ctrlProps/ctrlProp2.xml><?xml version="1.0" encoding="utf-8"?>
<formControlPr xmlns="http://schemas.microsoft.com/office/spreadsheetml/2009/9/main" objectType="Drop" dropStyle="combo" dx="16" fmlaLink="A213" fmlaRange="Codigo!$F$70:$F$79" noThreeD="1" sel="5" val="2"/>
</file>

<file path=xl/ctrlProps/ctrlProp3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4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5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6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7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8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9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10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11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12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13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14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15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16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17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18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19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20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21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22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23.xml><?xml version="1.0" encoding="utf-8"?>
<formControlPr xmlns="http://schemas.microsoft.com/office/spreadsheetml/2009/9/main" objectType="Drop" dropStyle="combo" dx="16" fmlaLink="A213" fmlaRange="Codigo!$F$3:$F$67" noThreeD="1" sel="1" val="0"/>
</file>

<file path=xl/ctrlProps/ctrlProp24.xml><?xml version="1.0" encoding="utf-8"?>
<formControlPr xmlns="http://schemas.microsoft.com/office/spreadsheetml/2009/9/main" objectType="Drop" dropStyle="combo" dx="16" fmlaLink="A213" fmlaRange="Codigo!$F$70:$F$79" noThreeD="1" sel="1" val="0"/>
</file>

<file path=xl/ctrlProps/ctrlProp25.xml><?xml version="1.0" encoding="utf-8"?>
<formControlPr xmlns="http://schemas.microsoft.com/office/spreadsheetml/2009/9/main" objectType="Drop" dropStyle="combo" dx="16" fmlaLink="A213" fmlaRange="Codigo!$F$70:$F$79" noThreeD="1" sel="1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49</xdr:row>
      <xdr:rowOff>104775</xdr:rowOff>
    </xdr:from>
    <xdr:to>
      <xdr:col>6</xdr:col>
      <xdr:colOff>581025</xdr:colOff>
      <xdr:row>52</xdr:row>
      <xdr:rowOff>152400</xdr:rowOff>
    </xdr:to>
    <xdr:pic>
      <xdr:nvPicPr>
        <xdr:cNvPr id="2295065" name="Imagem 5">
          <a:extLst>
            <a:ext uri="{FF2B5EF4-FFF2-40B4-BE49-F238E27FC236}">
              <a16:creationId xmlns:a16="http://schemas.microsoft.com/office/drawing/2014/main" id="{00000000-0008-0000-0000-0000190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10172700"/>
          <a:ext cx="31337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60</xdr:row>
      <xdr:rowOff>76200</xdr:rowOff>
    </xdr:from>
    <xdr:to>
      <xdr:col>6</xdr:col>
      <xdr:colOff>523875</xdr:colOff>
      <xdr:row>69</xdr:row>
      <xdr:rowOff>47625</xdr:rowOff>
    </xdr:to>
    <xdr:pic>
      <xdr:nvPicPr>
        <xdr:cNvPr id="2295066" name="Imagem 10">
          <a:extLst>
            <a:ext uri="{FF2B5EF4-FFF2-40B4-BE49-F238E27FC236}">
              <a16:creationId xmlns:a16="http://schemas.microsoft.com/office/drawing/2014/main" id="{00000000-0008-0000-0000-00001A0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2950" y="13573125"/>
          <a:ext cx="2876550" cy="168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161925</xdr:colOff>
      <xdr:row>60</xdr:row>
      <xdr:rowOff>180975</xdr:rowOff>
    </xdr:from>
    <xdr:to>
      <xdr:col>13</xdr:col>
      <xdr:colOff>762000</xdr:colOff>
      <xdr:row>64</xdr:row>
      <xdr:rowOff>161925</xdr:rowOff>
    </xdr:to>
    <xdr:pic>
      <xdr:nvPicPr>
        <xdr:cNvPr id="2295067" name="Imagem 11">
          <a:extLst>
            <a:ext uri="{FF2B5EF4-FFF2-40B4-BE49-F238E27FC236}">
              <a16:creationId xmlns:a16="http://schemas.microsoft.com/office/drawing/2014/main" id="{00000000-0008-0000-0000-00001B0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67150" y="13677900"/>
          <a:ext cx="49815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20</xdr:row>
      <xdr:rowOff>47625</xdr:rowOff>
    </xdr:from>
    <xdr:to>
      <xdr:col>17</xdr:col>
      <xdr:colOff>19050</xdr:colOff>
      <xdr:row>21</xdr:row>
      <xdr:rowOff>76200</xdr:rowOff>
    </xdr:to>
    <xdr:pic>
      <xdr:nvPicPr>
        <xdr:cNvPr id="2295070" name="Imagem 13">
          <a:extLst>
            <a:ext uri="{FF2B5EF4-FFF2-40B4-BE49-F238E27FC236}">
              <a16:creationId xmlns:a16="http://schemas.microsoft.com/office/drawing/2014/main" id="{00000000-0008-0000-0000-00001E0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5800" y="4591050"/>
          <a:ext cx="10220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666750</xdr:colOff>
      <xdr:row>29</xdr:row>
      <xdr:rowOff>19050</xdr:rowOff>
    </xdr:from>
    <xdr:to>
      <xdr:col>16</xdr:col>
      <xdr:colOff>428625</xdr:colOff>
      <xdr:row>30</xdr:row>
      <xdr:rowOff>28575</xdr:rowOff>
    </xdr:to>
    <xdr:pic>
      <xdr:nvPicPr>
        <xdr:cNvPr id="2295071" name="Imagem 14">
          <a:extLst>
            <a:ext uri="{FF2B5EF4-FFF2-40B4-BE49-F238E27FC236}">
              <a16:creationId xmlns:a16="http://schemas.microsoft.com/office/drawing/2014/main" id="{00000000-0008-0000-0000-00001F0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10375" y="6276975"/>
          <a:ext cx="38957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42</xdr:row>
      <xdr:rowOff>190500</xdr:rowOff>
    </xdr:from>
    <xdr:to>
      <xdr:col>5</xdr:col>
      <xdr:colOff>247650</xdr:colOff>
      <xdr:row>44</xdr:row>
      <xdr:rowOff>47625</xdr:rowOff>
    </xdr:to>
    <xdr:pic>
      <xdr:nvPicPr>
        <xdr:cNvPr id="2295072" name="Imagem 15">
          <a:extLst>
            <a:ext uri="{FF2B5EF4-FFF2-40B4-BE49-F238E27FC236}">
              <a16:creationId xmlns:a16="http://schemas.microsoft.com/office/drawing/2014/main" id="{00000000-0008-0000-0000-0000200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66750" y="8924925"/>
          <a:ext cx="20669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571500</xdr:colOff>
      <xdr:row>51</xdr:row>
      <xdr:rowOff>171450</xdr:rowOff>
    </xdr:from>
    <xdr:to>
      <xdr:col>15</xdr:col>
      <xdr:colOff>85725</xdr:colOff>
      <xdr:row>55</xdr:row>
      <xdr:rowOff>142875</xdr:rowOff>
    </xdr:to>
    <xdr:pic>
      <xdr:nvPicPr>
        <xdr:cNvPr id="2295074" name="Imagem 9">
          <a:extLst>
            <a:ext uri="{FF2B5EF4-FFF2-40B4-BE49-F238E27FC236}">
              <a16:creationId xmlns:a16="http://schemas.microsoft.com/office/drawing/2014/main" id="{00000000-0008-0000-0000-0000220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05525" y="10620375"/>
          <a:ext cx="36480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409575</xdr:colOff>
      <xdr:row>50</xdr:row>
      <xdr:rowOff>9525</xdr:rowOff>
    </xdr:from>
    <xdr:to>
      <xdr:col>13</xdr:col>
      <xdr:colOff>0</xdr:colOff>
      <xdr:row>53</xdr:row>
      <xdr:rowOff>180975</xdr:rowOff>
    </xdr:to>
    <xdr:cxnSp macro="">
      <xdr:nvCxnSpPr>
        <xdr:cNvPr id="2295080" name="Conector de seta reta 2">
          <a:extLst>
            <a:ext uri="{FF2B5EF4-FFF2-40B4-BE49-F238E27FC236}">
              <a16:creationId xmlns:a16="http://schemas.microsoft.com/office/drawing/2014/main" id="{00000000-0008-0000-0000-0000280523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6553200" y="10267950"/>
          <a:ext cx="1533525" cy="74295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 type="arrow" w="med" len="med"/>
          <a:tailEnd type="arrow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</xdr:row>
          <xdr:rowOff>7620</xdr:rowOff>
        </xdr:from>
        <xdr:to>
          <xdr:col>5</xdr:col>
          <xdr:colOff>2979420</xdr:colOff>
          <xdr:row>5</xdr:row>
          <xdr:rowOff>0</xdr:rowOff>
        </xdr:to>
        <xdr:sp macro="" textlink="">
          <xdr:nvSpPr>
            <xdr:cNvPr id="3770" name="Drop Down 698" hidden="1">
              <a:extLst>
                <a:ext uri="{63B3BB69-23CF-44E3-9099-C40C66FF867C}">
                  <a14:compatExt spid="_x0000_s3770"/>
                </a:ext>
                <a:ext uri="{FF2B5EF4-FFF2-40B4-BE49-F238E27FC236}">
                  <a16:creationId xmlns:a16="http://schemas.microsoft.com/office/drawing/2014/main" id="{00000000-0008-0000-0100-0000B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2979420</xdr:colOff>
          <xdr:row>4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959" name="Drop Down 887" hidden="1">
              <a:extLst>
                <a:ext uri="{63B3BB69-23CF-44E3-9099-C40C66FF867C}">
                  <a14:compatExt spid="_x0000_s3959"/>
                </a:ext>
                <a:ext uri="{FF2B5EF4-FFF2-40B4-BE49-F238E27FC236}">
                  <a16:creationId xmlns:a16="http://schemas.microsoft.com/office/drawing/2014/main" id="{00000000-0008-0000-0100-00007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0</xdr:rowOff>
        </xdr:from>
        <xdr:to>
          <xdr:col>5</xdr:col>
          <xdr:colOff>2979420</xdr:colOff>
          <xdr:row>5</xdr:row>
          <xdr:rowOff>0</xdr:rowOff>
        </xdr:to>
        <xdr:sp macro="" textlink="">
          <xdr:nvSpPr>
            <xdr:cNvPr id="167361" name="Drop Down 449" hidden="1">
              <a:extLst>
                <a:ext uri="{63B3BB69-23CF-44E3-9099-C40C66FF867C}">
                  <a14:compatExt spid="_x0000_s167361"/>
                </a:ext>
                <a:ext uri="{FF2B5EF4-FFF2-40B4-BE49-F238E27FC236}">
                  <a16:creationId xmlns:a16="http://schemas.microsoft.com/office/drawing/2014/main" id="{00000000-0008-0000-0200-0000C18D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2979420</xdr:colOff>
          <xdr:row>4</xdr:row>
          <xdr:rowOff>7620</xdr:rowOff>
        </xdr:from>
        <xdr:to>
          <xdr:col>8</xdr:col>
          <xdr:colOff>7620</xdr:colOff>
          <xdr:row>5</xdr:row>
          <xdr:rowOff>7620</xdr:rowOff>
        </xdr:to>
        <xdr:sp macro="" textlink="">
          <xdr:nvSpPr>
            <xdr:cNvPr id="167362" name="Drop Down 450" hidden="1">
              <a:extLst>
                <a:ext uri="{63B3BB69-23CF-44E3-9099-C40C66FF867C}">
                  <a14:compatExt spid="_x0000_s167362"/>
                </a:ext>
                <a:ext uri="{FF2B5EF4-FFF2-40B4-BE49-F238E27FC236}">
                  <a16:creationId xmlns:a16="http://schemas.microsoft.com/office/drawing/2014/main" id="{00000000-0008-0000-0200-0000C28D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7620</xdr:rowOff>
        </xdr:from>
        <xdr:to>
          <xdr:col>6</xdr:col>
          <xdr:colOff>0</xdr:colOff>
          <xdr:row>5</xdr:row>
          <xdr:rowOff>0</xdr:rowOff>
        </xdr:to>
        <xdr:sp macro="" textlink="">
          <xdr:nvSpPr>
            <xdr:cNvPr id="168487" name="Drop Down 551" hidden="1">
              <a:extLst>
                <a:ext uri="{63B3BB69-23CF-44E3-9099-C40C66FF867C}">
                  <a14:compatExt spid="_x0000_s168487"/>
                </a:ext>
                <a:ext uri="{FF2B5EF4-FFF2-40B4-BE49-F238E27FC236}">
                  <a16:creationId xmlns:a16="http://schemas.microsoft.com/office/drawing/2014/main" id="{00000000-0008-0000-0300-00002792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68488" name="Drop Down 552" hidden="1">
              <a:extLst>
                <a:ext uri="{63B3BB69-23CF-44E3-9099-C40C66FF867C}">
                  <a14:compatExt spid="_x0000_s168488"/>
                </a:ext>
                <a:ext uri="{FF2B5EF4-FFF2-40B4-BE49-F238E27FC236}">
                  <a16:creationId xmlns:a16="http://schemas.microsoft.com/office/drawing/2014/main" id="{00000000-0008-0000-0300-00002892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7620</xdr:rowOff>
        </xdr:from>
        <xdr:to>
          <xdr:col>5</xdr:col>
          <xdr:colOff>2979420</xdr:colOff>
          <xdr:row>5</xdr:row>
          <xdr:rowOff>0</xdr:rowOff>
        </xdr:to>
        <xdr:sp macro="" textlink="">
          <xdr:nvSpPr>
            <xdr:cNvPr id="5767" name="Drop Down 647" hidden="1">
              <a:extLst>
                <a:ext uri="{63B3BB69-23CF-44E3-9099-C40C66FF867C}">
                  <a14:compatExt spid="_x0000_s5767"/>
                </a:ext>
                <a:ext uri="{FF2B5EF4-FFF2-40B4-BE49-F238E27FC236}">
                  <a16:creationId xmlns:a16="http://schemas.microsoft.com/office/drawing/2014/main" id="{00000000-0008-0000-0400-000087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5768" name="Drop Down 648" hidden="1">
              <a:extLst>
                <a:ext uri="{63B3BB69-23CF-44E3-9099-C40C66FF867C}">
                  <a14:compatExt spid="_x0000_s5768"/>
                </a:ext>
                <a:ext uri="{FF2B5EF4-FFF2-40B4-BE49-F238E27FC236}">
                  <a16:creationId xmlns:a16="http://schemas.microsoft.com/office/drawing/2014/main" id="{00000000-0008-0000-0400-000088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7620</xdr:rowOff>
        </xdr:from>
        <xdr:to>
          <xdr:col>6</xdr:col>
          <xdr:colOff>0</xdr:colOff>
          <xdr:row>5</xdr:row>
          <xdr:rowOff>0</xdr:rowOff>
        </xdr:to>
        <xdr:sp macro="" textlink="">
          <xdr:nvSpPr>
            <xdr:cNvPr id="6905" name="Drop Down 761" hidden="1">
              <a:extLst>
                <a:ext uri="{63B3BB69-23CF-44E3-9099-C40C66FF867C}">
                  <a14:compatExt spid="_x0000_s6905"/>
                </a:ext>
                <a:ext uri="{FF2B5EF4-FFF2-40B4-BE49-F238E27FC236}">
                  <a16:creationId xmlns:a16="http://schemas.microsoft.com/office/drawing/2014/main" id="{00000000-0008-0000-0500-0000F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8</xdr:col>
          <xdr:colOff>7620</xdr:colOff>
          <xdr:row>5</xdr:row>
          <xdr:rowOff>0</xdr:rowOff>
        </xdr:to>
        <xdr:sp macro="" textlink="">
          <xdr:nvSpPr>
            <xdr:cNvPr id="6906" name="Drop Down 762" hidden="1">
              <a:extLst>
                <a:ext uri="{63B3BB69-23CF-44E3-9099-C40C66FF867C}">
                  <a14:compatExt spid="_x0000_s6906"/>
                </a:ext>
                <a:ext uri="{FF2B5EF4-FFF2-40B4-BE49-F238E27FC236}">
                  <a16:creationId xmlns:a16="http://schemas.microsoft.com/office/drawing/2014/main" id="{00000000-0008-0000-0500-0000F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7620</xdr:rowOff>
        </xdr:from>
        <xdr:to>
          <xdr:col>6</xdr:col>
          <xdr:colOff>0</xdr:colOff>
          <xdr:row>5</xdr:row>
          <xdr:rowOff>0</xdr:rowOff>
        </xdr:to>
        <xdr:sp macro="" textlink="">
          <xdr:nvSpPr>
            <xdr:cNvPr id="8077" name="Drop Down 909" hidden="1">
              <a:extLst>
                <a:ext uri="{63B3BB69-23CF-44E3-9099-C40C66FF867C}">
                  <a14:compatExt spid="_x0000_s8077"/>
                </a:ext>
                <a:ext uri="{FF2B5EF4-FFF2-40B4-BE49-F238E27FC236}">
                  <a16:creationId xmlns:a16="http://schemas.microsoft.com/office/drawing/2014/main" id="{00000000-0008-0000-0600-00008D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7620</xdr:rowOff>
        </xdr:from>
        <xdr:to>
          <xdr:col>8</xdr:col>
          <xdr:colOff>7620</xdr:colOff>
          <xdr:row>5</xdr:row>
          <xdr:rowOff>0</xdr:rowOff>
        </xdr:to>
        <xdr:sp macro="" textlink="">
          <xdr:nvSpPr>
            <xdr:cNvPr id="8078" name="Drop Down 910" hidden="1">
              <a:extLst>
                <a:ext uri="{63B3BB69-23CF-44E3-9099-C40C66FF867C}">
                  <a14:compatExt spid="_x0000_s8078"/>
                </a:ext>
                <a:ext uri="{FF2B5EF4-FFF2-40B4-BE49-F238E27FC236}">
                  <a16:creationId xmlns:a16="http://schemas.microsoft.com/office/drawing/2014/main" id="{00000000-0008-0000-0600-00008E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2118360</xdr:colOff>
          <xdr:row>4</xdr:row>
          <xdr:rowOff>7620</xdr:rowOff>
        </xdr:from>
        <xdr:to>
          <xdr:col>6</xdr:col>
          <xdr:colOff>0</xdr:colOff>
          <xdr:row>5</xdr:row>
          <xdr:rowOff>7620</xdr:rowOff>
        </xdr:to>
        <xdr:sp macro="" textlink="">
          <xdr:nvSpPr>
            <xdr:cNvPr id="9009" name="Drop Down 817" hidden="1">
              <a:extLst>
                <a:ext uri="{63B3BB69-23CF-44E3-9099-C40C66FF867C}">
                  <a14:compatExt spid="_x0000_s9009"/>
                </a:ext>
                <a:ext uri="{FF2B5EF4-FFF2-40B4-BE49-F238E27FC236}">
                  <a16:creationId xmlns:a16="http://schemas.microsoft.com/office/drawing/2014/main" id="{00000000-0008-0000-0700-0000312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7620</xdr:rowOff>
        </xdr:from>
        <xdr:to>
          <xdr:col>8</xdr:col>
          <xdr:colOff>7620</xdr:colOff>
          <xdr:row>5</xdr:row>
          <xdr:rowOff>0</xdr:rowOff>
        </xdr:to>
        <xdr:sp macro="" textlink="">
          <xdr:nvSpPr>
            <xdr:cNvPr id="9010" name="Drop Down 818" hidden="1">
              <a:extLst>
                <a:ext uri="{63B3BB69-23CF-44E3-9099-C40C66FF867C}">
                  <a14:compatExt spid="_x0000_s9010"/>
                </a:ext>
                <a:ext uri="{FF2B5EF4-FFF2-40B4-BE49-F238E27FC236}">
                  <a16:creationId xmlns:a16="http://schemas.microsoft.com/office/drawing/2014/main" id="{00000000-0008-0000-0700-0000322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2118360</xdr:colOff>
          <xdr:row>4</xdr:row>
          <xdr:rowOff>7620</xdr:rowOff>
        </xdr:from>
        <xdr:to>
          <xdr:col>6</xdr:col>
          <xdr:colOff>0</xdr:colOff>
          <xdr:row>5</xdr:row>
          <xdr:rowOff>7620</xdr:rowOff>
        </xdr:to>
        <xdr:sp macro="" textlink="">
          <xdr:nvSpPr>
            <xdr:cNvPr id="10100" name="Drop Down 884" hidden="1">
              <a:extLst>
                <a:ext uri="{63B3BB69-23CF-44E3-9099-C40C66FF867C}">
                  <a14:compatExt spid="_x0000_s10100"/>
                </a:ext>
                <a:ext uri="{FF2B5EF4-FFF2-40B4-BE49-F238E27FC236}">
                  <a16:creationId xmlns:a16="http://schemas.microsoft.com/office/drawing/2014/main" id="{00000000-0008-0000-0800-0000742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101" name="Drop Down 885" hidden="1">
              <a:extLst>
                <a:ext uri="{63B3BB69-23CF-44E3-9099-C40C66FF867C}">
                  <a14:compatExt spid="_x0000_s10101"/>
                </a:ext>
                <a:ext uri="{FF2B5EF4-FFF2-40B4-BE49-F238E27FC236}">
                  <a16:creationId xmlns:a16="http://schemas.microsoft.com/office/drawing/2014/main" id="{00000000-0008-0000-0800-0000752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2118360</xdr:colOff>
          <xdr:row>4</xdr:row>
          <xdr:rowOff>0</xdr:rowOff>
        </xdr:from>
        <xdr:to>
          <xdr:col>6</xdr:col>
          <xdr:colOff>0</xdr:colOff>
          <xdr:row>5</xdr:row>
          <xdr:rowOff>0</xdr:rowOff>
        </xdr:to>
        <xdr:sp macro="" textlink="">
          <xdr:nvSpPr>
            <xdr:cNvPr id="11202" name="Drop Down 962" hidden="1">
              <a:extLst>
                <a:ext uri="{63B3BB69-23CF-44E3-9099-C40C66FF867C}">
                  <a14:compatExt spid="_x0000_s11202"/>
                </a:ext>
                <a:ext uri="{FF2B5EF4-FFF2-40B4-BE49-F238E27FC236}">
                  <a16:creationId xmlns:a16="http://schemas.microsoft.com/office/drawing/2014/main" id="{00000000-0008-0000-0900-0000C2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7620</xdr:rowOff>
        </xdr:from>
        <xdr:to>
          <xdr:col>8</xdr:col>
          <xdr:colOff>22860</xdr:colOff>
          <xdr:row>5</xdr:row>
          <xdr:rowOff>0</xdr:rowOff>
        </xdr:to>
        <xdr:sp macro="" textlink="">
          <xdr:nvSpPr>
            <xdr:cNvPr id="11203" name="Drop Down 963" hidden="1">
              <a:extLst>
                <a:ext uri="{63B3BB69-23CF-44E3-9099-C40C66FF867C}">
                  <a14:compatExt spid="_x0000_s11203"/>
                </a:ext>
                <a:ext uri="{FF2B5EF4-FFF2-40B4-BE49-F238E27FC236}">
                  <a16:creationId xmlns:a16="http://schemas.microsoft.com/office/drawing/2014/main" id="{00000000-0008-0000-0900-0000C3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2118360</xdr:colOff>
          <xdr:row>4</xdr:row>
          <xdr:rowOff>0</xdr:rowOff>
        </xdr:from>
        <xdr:to>
          <xdr:col>6</xdr:col>
          <xdr:colOff>0</xdr:colOff>
          <xdr:row>5</xdr:row>
          <xdr:rowOff>7620</xdr:rowOff>
        </xdr:to>
        <xdr:sp macro="" textlink="">
          <xdr:nvSpPr>
            <xdr:cNvPr id="2126866" name="Drop Down 1042" hidden="1">
              <a:extLst>
                <a:ext uri="{63B3BB69-23CF-44E3-9099-C40C66FF867C}">
                  <a14:compatExt spid="_x0000_s2126866"/>
                </a:ext>
                <a:ext uri="{FF2B5EF4-FFF2-40B4-BE49-F238E27FC236}">
                  <a16:creationId xmlns:a16="http://schemas.microsoft.com/office/drawing/2014/main" id="{00000000-0008-0000-0A00-000012742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126867" name="Drop Down 1043" hidden="1">
              <a:extLst>
                <a:ext uri="{63B3BB69-23CF-44E3-9099-C40C66FF867C}">
                  <a14:compatExt spid="_x0000_s2126867"/>
                </a:ext>
                <a:ext uri="{FF2B5EF4-FFF2-40B4-BE49-F238E27FC236}">
                  <a16:creationId xmlns:a16="http://schemas.microsoft.com/office/drawing/2014/main" id="{00000000-0008-0000-0A00-000013742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2118360</xdr:colOff>
          <xdr:row>4</xdr:row>
          <xdr:rowOff>7620</xdr:rowOff>
        </xdr:from>
        <xdr:to>
          <xdr:col>6</xdr:col>
          <xdr:colOff>7620</xdr:colOff>
          <xdr:row>5</xdr:row>
          <xdr:rowOff>0</xdr:rowOff>
        </xdr:to>
        <xdr:sp macro="" textlink="">
          <xdr:nvSpPr>
            <xdr:cNvPr id="1866853" name="Drop Down 1125" hidden="1">
              <a:extLst>
                <a:ext uri="{63B3BB69-23CF-44E3-9099-C40C66FF867C}">
                  <a14:compatExt spid="_x0000_s1866853"/>
                </a:ext>
                <a:ext uri="{FF2B5EF4-FFF2-40B4-BE49-F238E27FC236}">
                  <a16:creationId xmlns:a16="http://schemas.microsoft.com/office/drawing/2014/main" id="{00000000-0008-0000-0B00-0000657C1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4</xdr:row>
          <xdr:rowOff>7620</xdr:rowOff>
        </xdr:from>
        <xdr:to>
          <xdr:col>8</xdr:col>
          <xdr:colOff>7620</xdr:colOff>
          <xdr:row>5</xdr:row>
          <xdr:rowOff>0</xdr:rowOff>
        </xdr:to>
        <xdr:sp macro="" textlink="">
          <xdr:nvSpPr>
            <xdr:cNvPr id="1866854" name="Drop Down 1126" hidden="1">
              <a:extLst>
                <a:ext uri="{63B3BB69-23CF-44E3-9099-C40C66FF867C}">
                  <a14:compatExt spid="_x0000_s1866854"/>
                </a:ext>
                <a:ext uri="{FF2B5EF4-FFF2-40B4-BE49-F238E27FC236}">
                  <a16:creationId xmlns:a16="http://schemas.microsoft.com/office/drawing/2014/main" id="{00000000-0008-0000-0B00-0000667C1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2118360</xdr:colOff>
          <xdr:row>4</xdr:row>
          <xdr:rowOff>7620</xdr:rowOff>
        </xdr:from>
        <xdr:to>
          <xdr:col>6</xdr:col>
          <xdr:colOff>0</xdr:colOff>
          <xdr:row>5</xdr:row>
          <xdr:rowOff>0</xdr:rowOff>
        </xdr:to>
        <xdr:sp macro="" textlink="">
          <xdr:nvSpPr>
            <xdr:cNvPr id="1097902" name="Drop Down 1198" hidden="1">
              <a:extLst>
                <a:ext uri="{63B3BB69-23CF-44E3-9099-C40C66FF867C}">
                  <a14:compatExt spid="_x0000_s1097902"/>
                </a:ext>
                <a:ext uri="{FF2B5EF4-FFF2-40B4-BE49-F238E27FC236}">
                  <a16:creationId xmlns:a16="http://schemas.microsoft.com/office/drawing/2014/main" id="{00000000-0008-0000-0C00-0000AE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4</xdr:row>
          <xdr:rowOff>7620</xdr:rowOff>
        </xdr:from>
        <xdr:to>
          <xdr:col>8</xdr:col>
          <xdr:colOff>0</xdr:colOff>
          <xdr:row>5</xdr:row>
          <xdr:rowOff>7620</xdr:rowOff>
        </xdr:to>
        <xdr:sp macro="" textlink="">
          <xdr:nvSpPr>
            <xdr:cNvPr id="1097903" name="Drop Down 1199" hidden="1">
              <a:extLst>
                <a:ext uri="{63B3BB69-23CF-44E3-9099-C40C66FF867C}">
                  <a14:compatExt spid="_x0000_s1097903"/>
                </a:ext>
                <a:ext uri="{FF2B5EF4-FFF2-40B4-BE49-F238E27FC236}">
                  <a16:creationId xmlns:a16="http://schemas.microsoft.com/office/drawing/2014/main" id="{00000000-0008-0000-0C00-0000AF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2979420</xdr:colOff>
          <xdr:row>4</xdr:row>
          <xdr:rowOff>7620</xdr:rowOff>
        </xdr:from>
        <xdr:to>
          <xdr:col>8</xdr:col>
          <xdr:colOff>7620</xdr:colOff>
          <xdr:row>5</xdr:row>
          <xdr:rowOff>7620</xdr:rowOff>
        </xdr:to>
        <xdr:sp macro="" textlink="">
          <xdr:nvSpPr>
            <xdr:cNvPr id="1097965" name="Drop Down 1261" hidden="1">
              <a:extLst>
                <a:ext uri="{63B3BB69-23CF-44E3-9099-C40C66FF867C}">
                  <a14:compatExt spid="_x0000_s1097965"/>
                </a:ext>
                <a:ext uri="{FF2B5EF4-FFF2-40B4-BE49-F238E27FC236}">
                  <a16:creationId xmlns:a16="http://schemas.microsoft.com/office/drawing/2014/main" id="{00000000-0008-0000-0C00-0000ED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28574</xdr:colOff>
      <xdr:row>0</xdr:row>
      <xdr:rowOff>85725</xdr:rowOff>
    </xdr:from>
    <xdr:to>
      <xdr:col>8</xdr:col>
      <xdr:colOff>1162049</xdr:colOff>
      <xdr:row>2</xdr:row>
      <xdr:rowOff>28575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6200774" y="85725"/>
          <a:ext cx="2314575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pt-BR" sz="1100" b="0"/>
            <a:t>A indicação de erro</a:t>
          </a:r>
          <a:r>
            <a:rPr lang="pt-BR" sz="1100" b="0" baseline="0"/>
            <a:t> no cálculo da tabela será eliminada, quando as  informações forem inseridas nas pastas de despesas de cada mês e o preenchimento da planilha "Previsão"</a:t>
          </a:r>
          <a:endParaRPr lang="pt-BR" sz="1100" b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28576</xdr:rowOff>
    </xdr:from>
    <xdr:to>
      <xdr:col>14</xdr:col>
      <xdr:colOff>485775</xdr:colOff>
      <xdr:row>2</xdr:row>
      <xdr:rowOff>295275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5610225" y="28576"/>
          <a:ext cx="6248400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pt-BR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Atenção! </a:t>
          </a:r>
        </a:p>
        <a:p>
          <a:pPr>
            <a:lnSpc>
              <a:spcPts val="1200"/>
            </a:lnSpc>
          </a:pPr>
          <a:r>
            <a:rPr lang="pt-B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 planilha deve ser preenchida apenas</a:t>
          </a:r>
          <a:r>
            <a:rPr lang="pt-B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 as compras parceladas em todos os cartões que possuir,  inclusive anuidade. </a:t>
          </a:r>
        </a:p>
        <a:p>
          <a:pPr>
            <a:lnSpc>
              <a:spcPts val="1200"/>
            </a:lnSpc>
          </a:pPr>
          <a:r>
            <a:rPr lang="pt-B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Transfira os lançamentos  mensais  que foram  registrados  como meio de pagamento: "PC" parcelamento no cartão e projete para os meses futuros  correspodente ao parcelamento.</a:t>
          </a:r>
        </a:p>
        <a:p>
          <a:r>
            <a:rPr lang="pt-BR" u="none" baseline="0"/>
            <a:t> Os lançamentos devem corresponder ao meses que começaram a ser cobradas.Por exemplo: compra feita em janeiro o lançamento deve iniciar em fevereiro. </a:t>
          </a:r>
        </a:p>
        <a:p>
          <a:pPr>
            <a:lnSpc>
              <a:spcPts val="1100"/>
            </a:lnSpc>
          </a:pPr>
          <a:r>
            <a:rPr lang="pt-BR" u="none" baseline="0"/>
            <a:t>O objetivo  desse acompanhamento é observar o nível de comprometimento futuro da renda.</a:t>
          </a:r>
        </a:p>
        <a:p>
          <a:pPr>
            <a:lnSpc>
              <a:spcPts val="1100"/>
            </a:lnSpc>
          </a:pPr>
          <a:endParaRPr lang="pt-BR"/>
        </a:p>
        <a:p>
          <a:pPr>
            <a:lnSpc>
              <a:spcPts val="1200"/>
            </a:lnSpc>
          </a:pPr>
          <a:endParaRPr lang="pt-B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133348</xdr:colOff>
      <xdr:row>0</xdr:row>
      <xdr:rowOff>19049</xdr:rowOff>
    </xdr:from>
    <xdr:to>
      <xdr:col>14</xdr:col>
      <xdr:colOff>476249</xdr:colOff>
      <xdr:row>2</xdr:row>
      <xdr:rowOff>304800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/>
      </xdr:nvSpPr>
      <xdr:spPr>
        <a:xfrm>
          <a:off x="5933015" y="19049"/>
          <a:ext cx="5507567" cy="1301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pt-BR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Atenção! </a:t>
          </a:r>
        </a:p>
        <a:p>
          <a:pPr>
            <a:lnSpc>
              <a:spcPts val="1200"/>
            </a:lnSpc>
          </a:pPr>
          <a:r>
            <a:rPr lang="pt-B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 planilha não realiza o cálculo do rendimento, apenas consolida as aplicações com os</a:t>
          </a:r>
          <a:r>
            <a:rPr lang="pt-B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seus respectivos  valores já apurados.  </a:t>
          </a:r>
        </a:p>
        <a:p>
          <a:pPr>
            <a:lnSpc>
              <a:spcPts val="1200"/>
            </a:lnSpc>
          </a:pPr>
          <a:r>
            <a:rPr lang="pt-BR" sz="1100" b="0" i="0" u="sng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Transfira os valores dos extratos  mensais e </a:t>
          </a:r>
          <a:r>
            <a:rPr lang="pt-BR" sz="1100" b="0" i="0" u="sng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preencha</a:t>
          </a:r>
          <a:r>
            <a:rPr lang="pt-BR" sz="1100" b="0" i="0" u="sng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os valores nos campos correspondentes</a:t>
          </a:r>
          <a:r>
            <a:rPr lang="pt-BR" u="sng"/>
            <a:t> </a:t>
          </a:r>
          <a:r>
            <a:rPr lang="pt-BR" u="sng" baseline="0"/>
            <a:t> nos campos indicados com </a:t>
          </a:r>
          <a:r>
            <a:rPr lang="pt-BR" u="sng" baseline="0">
              <a:solidFill>
                <a:srgbClr val="FF0000"/>
              </a:solidFill>
            </a:rPr>
            <a:t>fundo  cinza.</a:t>
          </a:r>
          <a:r>
            <a:rPr lang="pt-BR" u="sng" baseline="0"/>
            <a:t> </a:t>
          </a:r>
        </a:p>
        <a:p>
          <a:pPr>
            <a:lnSpc>
              <a:spcPts val="1100"/>
            </a:lnSpc>
          </a:pPr>
          <a:endParaRPr lang="pt-BR" baseline="0"/>
        </a:p>
        <a:p>
          <a:pPr>
            <a:lnSpc>
              <a:spcPts val="1200"/>
            </a:lnSpc>
          </a:pPr>
          <a:r>
            <a:rPr lang="pt-BR" baseline="0"/>
            <a:t>O objetivo é reunir todos os investimentos  num só lugar e acompanhá-lo durante o ano.</a:t>
          </a:r>
          <a:endParaRPr lang="pt-BR"/>
        </a:p>
        <a:p>
          <a:pPr>
            <a:lnSpc>
              <a:spcPts val="1100"/>
            </a:lnSpc>
          </a:pPr>
          <a:endParaRPr lang="pt-BR"/>
        </a:p>
        <a:p>
          <a:pPr>
            <a:lnSpc>
              <a:spcPts val="1100"/>
            </a:lnSpc>
          </a:pPr>
          <a:endParaRPr lang="pt-B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19050</xdr:rowOff>
    </xdr:from>
    <xdr:to>
      <xdr:col>12</xdr:col>
      <xdr:colOff>9525</xdr:colOff>
      <xdr:row>21</xdr:row>
      <xdr:rowOff>0</xdr:rowOff>
    </xdr:to>
    <xdr:graphicFrame macro="">
      <xdr:nvGraphicFramePr>
        <xdr:cNvPr id="1905073" name="Gráfico 1">
          <a:extLst>
            <a:ext uri="{FF2B5EF4-FFF2-40B4-BE49-F238E27FC236}">
              <a16:creationId xmlns:a16="http://schemas.microsoft.com/office/drawing/2014/main" id="{00000000-0008-0000-1200-0000B1111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22</xdr:row>
      <xdr:rowOff>190500</xdr:rowOff>
    </xdr:from>
    <xdr:to>
      <xdr:col>11</xdr:col>
      <xdr:colOff>600075</xdr:colOff>
      <xdr:row>40</xdr:row>
      <xdr:rowOff>180975</xdr:rowOff>
    </xdr:to>
    <xdr:graphicFrame macro="">
      <xdr:nvGraphicFramePr>
        <xdr:cNvPr id="1905074" name="Gráfico 2">
          <a:extLst>
            <a:ext uri="{FF2B5EF4-FFF2-40B4-BE49-F238E27FC236}">
              <a16:creationId xmlns:a16="http://schemas.microsoft.com/office/drawing/2014/main" id="{00000000-0008-0000-1200-0000B2111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638175</xdr:colOff>
      <xdr:row>1</xdr:row>
      <xdr:rowOff>9525</xdr:rowOff>
    </xdr:to>
    <xdr:pic>
      <xdr:nvPicPr>
        <xdr:cNvPr id="181593" name="Imagem 2" descr="http://216.70.68.3/logos/idec_125x100.jpg">
          <a:extLst>
            <a:ext uri="{FF2B5EF4-FFF2-40B4-BE49-F238E27FC236}">
              <a16:creationId xmlns:a16="http://schemas.microsoft.com/office/drawing/2014/main" id="{00000000-0008-0000-1300-000059C5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0"/>
          <a:ext cx="11906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25.xml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R114"/>
  <sheetViews>
    <sheetView showGridLines="0" tabSelected="1" workbookViewId="0">
      <selection activeCell="K19" sqref="K19"/>
    </sheetView>
  </sheetViews>
  <sheetFormatPr defaultRowHeight="14.4" x14ac:dyDescent="0.3"/>
  <cols>
    <col min="1" max="1" width="0.6640625" customWidth="1"/>
    <col min="12" max="14" width="14.5546875" customWidth="1"/>
  </cols>
  <sheetData>
    <row r="1" spans="1:18" ht="70.5" customHeight="1" x14ac:dyDescent="0.3">
      <c r="B1" s="261" t="s">
        <v>0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</row>
    <row r="2" spans="1:18" ht="6" customHeight="1" thickBot="1" x14ac:dyDescent="0.35">
      <c r="K2" s="43" t="s">
        <v>160</v>
      </c>
    </row>
    <row r="3" spans="1:18" ht="31.2" x14ac:dyDescent="0.3">
      <c r="A3" s="244"/>
      <c r="B3" s="262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3"/>
      <c r="R3" s="264"/>
    </row>
    <row r="4" spans="1:18" x14ac:dyDescent="0.3">
      <c r="A4" s="245"/>
      <c r="B4" s="238"/>
      <c r="R4" s="239"/>
    </row>
    <row r="5" spans="1:18" x14ac:dyDescent="0.3">
      <c r="A5" s="245"/>
      <c r="R5" s="239"/>
    </row>
    <row r="6" spans="1:18" x14ac:dyDescent="0.3">
      <c r="A6" s="245"/>
      <c r="B6" s="240" t="s">
        <v>402</v>
      </c>
      <c r="R6" s="239"/>
    </row>
    <row r="7" spans="1:18" x14ac:dyDescent="0.3">
      <c r="A7" s="245"/>
      <c r="B7" s="240" t="s">
        <v>403</v>
      </c>
      <c r="R7" s="239"/>
    </row>
    <row r="8" spans="1:18" x14ac:dyDescent="0.3">
      <c r="A8" s="245"/>
      <c r="B8" s="240" t="s">
        <v>404</v>
      </c>
      <c r="R8" s="239"/>
    </row>
    <row r="9" spans="1:18" x14ac:dyDescent="0.3">
      <c r="A9" s="245"/>
      <c r="B9" s="240" t="s">
        <v>405</v>
      </c>
      <c r="R9" s="239"/>
    </row>
    <row r="10" spans="1:18" x14ac:dyDescent="0.3">
      <c r="A10" s="245"/>
      <c r="B10" s="240" t="s">
        <v>406</v>
      </c>
      <c r="R10" s="239"/>
    </row>
    <row r="11" spans="1:18" x14ac:dyDescent="0.3">
      <c r="A11" s="245"/>
      <c r="R11" s="239"/>
    </row>
    <row r="12" spans="1:18" x14ac:dyDescent="0.3">
      <c r="A12" s="245"/>
      <c r="B12" s="240" t="s">
        <v>407</v>
      </c>
      <c r="R12" s="239"/>
    </row>
    <row r="13" spans="1:18" x14ac:dyDescent="0.3">
      <c r="A13" s="245"/>
      <c r="B13" t="s">
        <v>408</v>
      </c>
      <c r="R13" s="239"/>
    </row>
    <row r="14" spans="1:18" x14ac:dyDescent="0.3">
      <c r="A14" s="245"/>
      <c r="R14" s="239"/>
    </row>
    <row r="15" spans="1:18" ht="21" customHeight="1" thickBot="1" x14ac:dyDescent="0.35">
      <c r="A15" s="246"/>
      <c r="B15" s="241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3"/>
    </row>
    <row r="16" spans="1:18" ht="6" customHeight="1" x14ac:dyDescent="0.3"/>
    <row r="17" spans="2:18" ht="20.399999999999999" x14ac:dyDescent="0.35">
      <c r="B17" s="1" t="s">
        <v>430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  <c r="O17" s="3"/>
      <c r="P17" s="3"/>
      <c r="Q17" s="3"/>
      <c r="R17" s="4"/>
    </row>
    <row r="18" spans="2:18" ht="3.75" customHeight="1" thickBot="1" x14ac:dyDescent="0.3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2:18" ht="18.600000000000001" thickBot="1" x14ac:dyDescent="0.4">
      <c r="B19" s="8" t="s">
        <v>2</v>
      </c>
      <c r="C19" s="17" t="s">
        <v>266</v>
      </c>
      <c r="I19" s="260">
        <v>2026</v>
      </c>
      <c r="R19" s="7"/>
    </row>
    <row r="20" spans="2:18" x14ac:dyDescent="0.3">
      <c r="B20" s="6"/>
      <c r="C20" t="s">
        <v>320</v>
      </c>
      <c r="R20" s="7"/>
    </row>
    <row r="21" spans="2:18" x14ac:dyDescent="0.3">
      <c r="B21" s="6"/>
      <c r="R21" s="7"/>
    </row>
    <row r="22" spans="2:18" x14ac:dyDescent="0.3">
      <c r="B22" s="6"/>
      <c r="R22" s="7"/>
    </row>
    <row r="23" spans="2:18" x14ac:dyDescent="0.3">
      <c r="B23" s="6"/>
      <c r="C23" s="17" t="s">
        <v>382</v>
      </c>
      <c r="R23" s="7"/>
    </row>
    <row r="24" spans="2:18" x14ac:dyDescent="0.3">
      <c r="B24" s="6"/>
      <c r="C24" s="257" t="s">
        <v>415</v>
      </c>
      <c r="R24" s="7"/>
    </row>
    <row r="25" spans="2:18" x14ac:dyDescent="0.3">
      <c r="B25" s="8" t="s">
        <v>3</v>
      </c>
      <c r="C25" t="s">
        <v>321</v>
      </c>
      <c r="R25" s="7"/>
    </row>
    <row r="26" spans="2:18" x14ac:dyDescent="0.3">
      <c r="B26" s="8"/>
      <c r="C26" t="s">
        <v>322</v>
      </c>
      <c r="R26" s="7"/>
    </row>
    <row r="27" spans="2:18" x14ac:dyDescent="0.3">
      <c r="B27" s="8"/>
      <c r="C27" t="s">
        <v>363</v>
      </c>
      <c r="R27" s="7"/>
    </row>
    <row r="28" spans="2:18" x14ac:dyDescent="0.3">
      <c r="B28" s="8"/>
      <c r="C28" t="s">
        <v>323</v>
      </c>
      <c r="R28" s="7"/>
    </row>
    <row r="29" spans="2:18" x14ac:dyDescent="0.3">
      <c r="B29" s="8"/>
      <c r="C29" t="s">
        <v>364</v>
      </c>
      <c r="R29" s="7"/>
    </row>
    <row r="30" spans="2:18" x14ac:dyDescent="0.3">
      <c r="B30" s="8"/>
      <c r="C30" t="s">
        <v>324</v>
      </c>
      <c r="R30" s="7"/>
    </row>
    <row r="31" spans="2:18" x14ac:dyDescent="0.3">
      <c r="B31" s="8"/>
      <c r="C31" t="s">
        <v>365</v>
      </c>
      <c r="R31" s="7"/>
    </row>
    <row r="32" spans="2:18" x14ac:dyDescent="0.3">
      <c r="B32" s="8"/>
      <c r="C32" t="s">
        <v>325</v>
      </c>
      <c r="R32" s="7"/>
    </row>
    <row r="33" spans="2:18" x14ac:dyDescent="0.3">
      <c r="B33" s="8"/>
      <c r="R33" s="7"/>
    </row>
    <row r="34" spans="2:18" x14ac:dyDescent="0.3">
      <c r="B34" s="8"/>
      <c r="C34" t="s">
        <v>326</v>
      </c>
      <c r="R34" s="7"/>
    </row>
    <row r="35" spans="2:18" x14ac:dyDescent="0.3">
      <c r="B35" s="6"/>
      <c r="C35" t="s">
        <v>327</v>
      </c>
      <c r="R35" s="7"/>
    </row>
    <row r="36" spans="2:18" x14ac:dyDescent="0.3">
      <c r="B36" s="6"/>
      <c r="R36" s="7"/>
    </row>
    <row r="37" spans="2:18" x14ac:dyDescent="0.3">
      <c r="B37" s="6"/>
      <c r="C37" t="s">
        <v>328</v>
      </c>
      <c r="R37" s="7"/>
    </row>
    <row r="38" spans="2:18" x14ac:dyDescent="0.3">
      <c r="B38" s="6"/>
      <c r="C38" t="s">
        <v>366</v>
      </c>
      <c r="R38" s="7"/>
    </row>
    <row r="39" spans="2:18" x14ac:dyDescent="0.3">
      <c r="B39" s="6"/>
      <c r="R39" s="7"/>
    </row>
    <row r="40" spans="2:18" x14ac:dyDescent="0.3">
      <c r="B40" s="8" t="s">
        <v>4</v>
      </c>
      <c r="C40" t="s">
        <v>329</v>
      </c>
      <c r="R40" s="7"/>
    </row>
    <row r="41" spans="2:18" x14ac:dyDescent="0.3">
      <c r="B41" s="8"/>
      <c r="C41" t="s">
        <v>367</v>
      </c>
      <c r="R41" s="7"/>
    </row>
    <row r="42" spans="2:18" x14ac:dyDescent="0.3">
      <c r="B42" s="8"/>
      <c r="C42" t="s">
        <v>330</v>
      </c>
      <c r="R42" s="7"/>
    </row>
    <row r="43" spans="2:18" x14ac:dyDescent="0.3">
      <c r="B43" s="8"/>
      <c r="C43" t="s">
        <v>368</v>
      </c>
      <c r="R43" s="7"/>
    </row>
    <row r="44" spans="2:18" x14ac:dyDescent="0.3">
      <c r="B44" s="8"/>
      <c r="C44" t="s">
        <v>369</v>
      </c>
      <c r="R44" s="7"/>
    </row>
    <row r="45" spans="2:18" x14ac:dyDescent="0.3">
      <c r="B45" s="8"/>
      <c r="R45" s="7"/>
    </row>
    <row r="46" spans="2:18" x14ac:dyDescent="0.3">
      <c r="B46" s="8"/>
      <c r="C46" t="s">
        <v>332</v>
      </c>
      <c r="R46" s="7"/>
    </row>
    <row r="47" spans="2:18" x14ac:dyDescent="0.3">
      <c r="B47" s="8"/>
      <c r="C47" s="22"/>
      <c r="R47" s="7"/>
    </row>
    <row r="48" spans="2:18" x14ac:dyDescent="0.3">
      <c r="B48" s="8"/>
      <c r="C48" t="s">
        <v>331</v>
      </c>
      <c r="R48" s="7"/>
    </row>
    <row r="49" spans="2:18" x14ac:dyDescent="0.3">
      <c r="B49" s="8"/>
      <c r="C49" t="s">
        <v>166</v>
      </c>
      <c r="R49" s="7"/>
    </row>
    <row r="50" spans="2:18" x14ac:dyDescent="0.3">
      <c r="B50" s="8"/>
      <c r="L50" t="s">
        <v>416</v>
      </c>
      <c r="R50" s="7"/>
    </row>
    <row r="51" spans="2:18" x14ac:dyDescent="0.3">
      <c r="B51" s="8"/>
      <c r="L51" t="s">
        <v>417</v>
      </c>
      <c r="R51" s="7"/>
    </row>
    <row r="52" spans="2:18" x14ac:dyDescent="0.3">
      <c r="B52" s="8"/>
      <c r="R52" s="7"/>
    </row>
    <row r="53" spans="2:18" x14ac:dyDescent="0.3">
      <c r="B53" s="8"/>
      <c r="R53" s="7"/>
    </row>
    <row r="54" spans="2:18" x14ac:dyDescent="0.3">
      <c r="B54" s="8"/>
      <c r="R54" s="7"/>
    </row>
    <row r="55" spans="2:18" x14ac:dyDescent="0.3">
      <c r="B55" s="6"/>
      <c r="R55" s="7"/>
    </row>
    <row r="56" spans="2:18" x14ac:dyDescent="0.3">
      <c r="B56" s="6"/>
      <c r="R56" s="7"/>
    </row>
    <row r="57" spans="2:18" x14ac:dyDescent="0.3">
      <c r="B57" s="8" t="s">
        <v>343</v>
      </c>
      <c r="C57" t="s">
        <v>344</v>
      </c>
      <c r="R57" s="7"/>
    </row>
    <row r="58" spans="2:18" x14ac:dyDescent="0.3">
      <c r="B58" s="6"/>
      <c r="C58" t="s">
        <v>345</v>
      </c>
      <c r="R58" s="7"/>
    </row>
    <row r="59" spans="2:18" x14ac:dyDescent="0.3">
      <c r="B59" s="6"/>
      <c r="C59" t="s">
        <v>346</v>
      </c>
      <c r="R59" s="7"/>
    </row>
    <row r="60" spans="2:18" x14ac:dyDescent="0.3">
      <c r="B60" s="6"/>
      <c r="C60" t="s">
        <v>370</v>
      </c>
      <c r="R60" s="7"/>
    </row>
    <row r="61" spans="2:18" x14ac:dyDescent="0.3">
      <c r="B61" s="6"/>
      <c r="R61" s="7"/>
    </row>
    <row r="62" spans="2:18" x14ac:dyDescent="0.3">
      <c r="B62" s="6"/>
      <c r="R62" s="7"/>
    </row>
    <row r="63" spans="2:18" x14ac:dyDescent="0.3">
      <c r="B63" s="6"/>
      <c r="R63" s="7"/>
    </row>
    <row r="64" spans="2:18" x14ac:dyDescent="0.3">
      <c r="B64" s="6"/>
      <c r="R64" s="7"/>
    </row>
    <row r="65" spans="2:18" x14ac:dyDescent="0.3">
      <c r="B65" s="6"/>
      <c r="R65" s="7"/>
    </row>
    <row r="66" spans="2:18" x14ac:dyDescent="0.3">
      <c r="B66" s="6"/>
      <c r="R66" s="7"/>
    </row>
    <row r="67" spans="2:18" x14ac:dyDescent="0.3">
      <c r="B67" s="6"/>
      <c r="R67" s="7"/>
    </row>
    <row r="68" spans="2:18" x14ac:dyDescent="0.3">
      <c r="B68" s="6"/>
      <c r="R68" s="7"/>
    </row>
    <row r="69" spans="2:18" x14ac:dyDescent="0.3">
      <c r="B69" s="6"/>
      <c r="R69" s="7"/>
    </row>
    <row r="70" spans="2:18" x14ac:dyDescent="0.3">
      <c r="B70" s="6"/>
      <c r="R70" s="7"/>
    </row>
    <row r="71" spans="2:18" x14ac:dyDescent="0.3">
      <c r="B71" s="6"/>
      <c r="R71" s="7"/>
    </row>
    <row r="72" spans="2:18" x14ac:dyDescent="0.3">
      <c r="B72" s="8" t="s">
        <v>371</v>
      </c>
      <c r="C72" s="22" t="s">
        <v>372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R72" s="7"/>
    </row>
    <row r="73" spans="2:18" x14ac:dyDescent="0.3">
      <c r="B73" s="6"/>
      <c r="C73" s="22" t="s">
        <v>68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R73" s="7"/>
    </row>
    <row r="74" spans="2:18" x14ac:dyDescent="0.3">
      <c r="B74" s="6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R74" s="7"/>
    </row>
    <row r="75" spans="2:18" x14ac:dyDescent="0.3">
      <c r="B75" s="8" t="s">
        <v>347</v>
      </c>
      <c r="C75" s="22" t="s">
        <v>348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R75" s="7"/>
    </row>
    <row r="76" spans="2:18" x14ac:dyDescent="0.3">
      <c r="B76" s="6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R76" s="7"/>
    </row>
    <row r="77" spans="2:18" x14ac:dyDescent="0.3">
      <c r="B77" s="8" t="s">
        <v>349</v>
      </c>
      <c r="C77" s="22" t="s">
        <v>373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R77" s="7"/>
    </row>
    <row r="78" spans="2:18" x14ac:dyDescent="0.3">
      <c r="B78" s="6"/>
      <c r="C78" s="22" t="s">
        <v>374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R78" s="7"/>
    </row>
    <row r="79" spans="2:18" x14ac:dyDescent="0.3">
      <c r="B79" s="6"/>
      <c r="C79" s="22" t="s">
        <v>375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R79" s="7"/>
    </row>
    <row r="80" spans="2:18" x14ac:dyDescent="0.3">
      <c r="B80" s="6"/>
      <c r="C80" s="22" t="s">
        <v>376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R80" s="7"/>
    </row>
    <row r="81" spans="1:18" x14ac:dyDescent="0.3">
      <c r="B81" s="6"/>
      <c r="C81" s="22" t="s">
        <v>350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R81" s="7"/>
    </row>
    <row r="82" spans="1:18" x14ac:dyDescent="0.3">
      <c r="B82" s="6"/>
      <c r="C82" s="22" t="s">
        <v>359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R82" s="7"/>
    </row>
    <row r="83" spans="1:18" x14ac:dyDescent="0.3">
      <c r="B83" s="6"/>
      <c r="C83" s="22" t="s">
        <v>377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R83" s="7"/>
    </row>
    <row r="84" spans="1:18" x14ac:dyDescent="0.3">
      <c r="B84" s="6"/>
      <c r="C84" s="22" t="s">
        <v>360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R84" s="7"/>
    </row>
    <row r="85" spans="1:18" x14ac:dyDescent="0.3">
      <c r="B85" s="6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R85" s="7"/>
    </row>
    <row r="86" spans="1:18" x14ac:dyDescent="0.3">
      <c r="B86" s="8" t="s">
        <v>378</v>
      </c>
      <c r="C86" t="s">
        <v>379</v>
      </c>
      <c r="R86" s="7"/>
    </row>
    <row r="87" spans="1:18" x14ac:dyDescent="0.3">
      <c r="B87" s="8"/>
      <c r="C87" t="s">
        <v>380</v>
      </c>
      <c r="R87" s="7"/>
    </row>
    <row r="88" spans="1:18" x14ac:dyDescent="0.3">
      <c r="B88" s="8"/>
      <c r="R88" s="7"/>
    </row>
    <row r="89" spans="1:18" ht="30.75" customHeight="1" thickBot="1" x14ac:dyDescent="0.35"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1"/>
    </row>
    <row r="90" spans="1:18" ht="8.25" customHeight="1" thickTop="1" x14ac:dyDescent="0.3"/>
    <row r="91" spans="1:18" ht="21" customHeight="1" x14ac:dyDescent="0.35">
      <c r="A91" s="5"/>
      <c r="B91" s="51" t="s">
        <v>5</v>
      </c>
      <c r="C91" s="52"/>
      <c r="D91" s="52"/>
      <c r="E91" s="52"/>
      <c r="F91" s="52"/>
      <c r="G91" s="52"/>
      <c r="H91" s="52"/>
      <c r="I91" s="53"/>
      <c r="J91" s="53"/>
      <c r="K91" s="53"/>
      <c r="L91" s="53"/>
      <c r="M91" s="53"/>
      <c r="N91" s="53"/>
      <c r="O91" s="53"/>
      <c r="P91" s="53"/>
      <c r="Q91" s="53"/>
      <c r="R91" s="53"/>
    </row>
    <row r="92" spans="1:18" ht="3.75" customHeight="1" x14ac:dyDescent="0.3"/>
    <row r="93" spans="1:18" ht="15" thickTop="1" x14ac:dyDescent="0.3">
      <c r="A93" s="12"/>
      <c r="B93" s="13" t="s">
        <v>351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5"/>
    </row>
    <row r="94" spans="1:18" ht="15" customHeight="1" x14ac:dyDescent="0.3">
      <c r="A94" s="12"/>
      <c r="B94" s="16" t="s">
        <v>352</v>
      </c>
      <c r="R94" s="12"/>
    </row>
    <row r="95" spans="1:18" ht="26.25" customHeight="1" x14ac:dyDescent="0.3">
      <c r="A95" s="12"/>
      <c r="B95" s="265" t="s">
        <v>69</v>
      </c>
      <c r="C95" s="265"/>
      <c r="D95" s="265"/>
      <c r="E95" s="265"/>
      <c r="F95" s="265"/>
      <c r="G95" s="265"/>
      <c r="H95" s="265"/>
      <c r="I95" s="265"/>
      <c r="J95" s="265"/>
      <c r="K95" s="265"/>
      <c r="L95" s="265"/>
      <c r="M95" s="265"/>
      <c r="N95" s="265"/>
      <c r="O95" s="265"/>
      <c r="P95" s="265"/>
      <c r="Q95" s="265"/>
      <c r="R95" s="265"/>
    </row>
    <row r="96" spans="1:18" x14ac:dyDescent="0.3">
      <c r="A96" s="12"/>
      <c r="B96" s="265"/>
      <c r="C96" s="265"/>
      <c r="D96" s="265"/>
      <c r="E96" s="265"/>
      <c r="F96" s="265"/>
      <c r="G96" s="265"/>
      <c r="H96" s="265"/>
      <c r="I96" s="265"/>
      <c r="J96" s="265"/>
      <c r="K96" s="265"/>
      <c r="L96" s="265"/>
      <c r="M96" s="265"/>
      <c r="N96" s="265"/>
      <c r="O96" s="265"/>
      <c r="P96" s="265"/>
      <c r="Q96" s="265"/>
      <c r="R96" s="265"/>
    </row>
    <row r="97" spans="1:18" ht="19.5" customHeight="1" x14ac:dyDescent="0.3">
      <c r="A97" s="12"/>
      <c r="B97" s="266" t="s">
        <v>353</v>
      </c>
      <c r="C97" s="266"/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</row>
    <row r="98" spans="1:18" ht="18.75" customHeight="1" x14ac:dyDescent="0.3">
      <c r="A98" s="12"/>
      <c r="B98" s="266"/>
      <c r="C98" s="266"/>
      <c r="D98" s="266"/>
      <c r="E98" s="266"/>
      <c r="F98" s="266"/>
      <c r="G98" s="266"/>
      <c r="H98" s="266"/>
      <c r="I98" s="266"/>
      <c r="J98" s="266"/>
      <c r="K98" s="266"/>
      <c r="L98" s="266"/>
      <c r="M98" s="266"/>
      <c r="N98" s="266"/>
      <c r="O98" s="266"/>
      <c r="P98" s="266"/>
      <c r="Q98" s="266"/>
      <c r="R98" s="266"/>
    </row>
    <row r="99" spans="1:18" ht="30.75" customHeight="1" x14ac:dyDescent="0.3">
      <c r="A99" s="12"/>
      <c r="B99" s="266" t="s">
        <v>354</v>
      </c>
      <c r="C99" s="267"/>
      <c r="D99" s="267"/>
      <c r="E99" s="267"/>
      <c r="F99" s="267"/>
      <c r="G99" s="267"/>
      <c r="H99" s="267"/>
      <c r="I99" s="267"/>
      <c r="J99" s="267"/>
      <c r="K99" s="267"/>
      <c r="L99" s="267"/>
      <c r="M99" s="267"/>
      <c r="N99" s="267"/>
      <c r="O99" s="267"/>
      <c r="P99" s="267"/>
      <c r="Q99" s="267"/>
      <c r="R99" s="268"/>
    </row>
    <row r="100" spans="1:18" ht="12" customHeight="1" x14ac:dyDescent="0.3">
      <c r="A100" s="12"/>
      <c r="B100" s="16"/>
      <c r="R100" s="12"/>
    </row>
    <row r="101" spans="1:18" x14ac:dyDescent="0.3">
      <c r="A101" s="12"/>
      <c r="B101" s="265" t="s">
        <v>355</v>
      </c>
      <c r="C101" s="265"/>
      <c r="D101" s="265"/>
      <c r="E101" s="265"/>
      <c r="F101" s="265"/>
      <c r="G101" s="265"/>
      <c r="H101" s="265"/>
      <c r="I101" s="265"/>
      <c r="J101" s="265"/>
      <c r="K101" s="265"/>
      <c r="L101" s="265"/>
      <c r="M101" s="265"/>
      <c r="N101" s="265"/>
      <c r="O101" s="265"/>
      <c r="P101" s="265"/>
      <c r="Q101" s="265"/>
      <c r="R101" s="265"/>
    </row>
    <row r="102" spans="1:18" ht="25.5" customHeight="1" x14ac:dyDescent="0.3">
      <c r="A102" s="12"/>
      <c r="B102" s="265"/>
      <c r="C102" s="265"/>
      <c r="D102" s="265"/>
      <c r="E102" s="265"/>
      <c r="F102" s="265"/>
      <c r="G102" s="265"/>
      <c r="H102" s="265"/>
      <c r="I102" s="265"/>
      <c r="J102" s="265"/>
      <c r="K102" s="265"/>
      <c r="L102" s="265"/>
      <c r="M102" s="265"/>
      <c r="N102" s="265"/>
      <c r="O102" s="265"/>
      <c r="P102" s="265"/>
      <c r="Q102" s="265"/>
      <c r="R102" s="265"/>
    </row>
    <row r="103" spans="1:18" ht="12.75" customHeight="1" x14ac:dyDescent="0.3">
      <c r="A103" s="12"/>
      <c r="B103" s="270"/>
      <c r="C103" s="270"/>
      <c r="D103" s="270"/>
      <c r="E103" s="270"/>
      <c r="F103" s="270"/>
      <c r="G103" s="270"/>
      <c r="H103" s="270"/>
      <c r="I103" s="270"/>
      <c r="J103" s="270"/>
      <c r="K103" s="270"/>
      <c r="L103" s="270"/>
      <c r="M103" s="270"/>
      <c r="N103" s="270"/>
      <c r="O103" s="270"/>
      <c r="P103" s="270"/>
      <c r="Q103" s="270"/>
      <c r="R103" s="270"/>
    </row>
    <row r="104" spans="1:18" ht="14.1" customHeight="1" x14ac:dyDescent="0.3">
      <c r="A104" s="12"/>
      <c r="B104" s="271" t="s">
        <v>70</v>
      </c>
      <c r="C104" s="271"/>
      <c r="D104" s="271"/>
      <c r="E104" s="271"/>
      <c r="F104" s="271"/>
      <c r="G104" s="271"/>
      <c r="H104" s="271"/>
      <c r="I104" s="271"/>
      <c r="J104" s="271"/>
      <c r="K104" s="271"/>
      <c r="L104" s="271"/>
      <c r="M104" s="271"/>
      <c r="N104" s="271"/>
      <c r="O104" s="271"/>
      <c r="P104" s="271"/>
      <c r="Q104" s="271"/>
      <c r="R104" s="271"/>
    </row>
    <row r="105" spans="1:18" ht="30" customHeight="1" x14ac:dyDescent="0.3">
      <c r="A105" s="12"/>
      <c r="B105" s="271"/>
      <c r="C105" s="271"/>
      <c r="D105" s="271"/>
      <c r="E105" s="271"/>
      <c r="F105" s="271"/>
      <c r="G105" s="271"/>
      <c r="H105" s="271"/>
      <c r="I105" s="271"/>
      <c r="J105" s="271"/>
      <c r="K105" s="271"/>
      <c r="L105" s="271"/>
      <c r="M105" s="271"/>
      <c r="N105" s="271"/>
      <c r="O105" s="271"/>
      <c r="P105" s="271"/>
      <c r="Q105" s="271"/>
      <c r="R105" s="271"/>
    </row>
    <row r="106" spans="1:18" ht="20.25" customHeight="1" x14ac:dyDescent="0.3">
      <c r="A106" s="12"/>
      <c r="B106" s="270" t="s">
        <v>356</v>
      </c>
      <c r="C106" s="270"/>
      <c r="D106" s="270"/>
      <c r="E106" s="270"/>
      <c r="F106" s="270"/>
      <c r="G106" s="270"/>
      <c r="H106" s="270"/>
      <c r="I106" s="270"/>
      <c r="J106" s="270"/>
      <c r="K106" s="270"/>
      <c r="L106" s="270"/>
      <c r="M106" s="270"/>
      <c r="N106" s="270"/>
      <c r="O106" s="270"/>
      <c r="P106" s="270"/>
      <c r="Q106" s="270"/>
      <c r="R106" s="270"/>
    </row>
    <row r="107" spans="1:18" ht="54.75" customHeight="1" x14ac:dyDescent="0.3">
      <c r="A107" s="12"/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</row>
    <row r="108" spans="1:18" ht="16.5" customHeight="1" x14ac:dyDescent="0.3">
      <c r="A108" s="12"/>
      <c r="B108" s="272" t="s">
        <v>357</v>
      </c>
      <c r="C108" s="272"/>
      <c r="D108" s="272"/>
      <c r="E108" s="272"/>
      <c r="F108" s="272"/>
      <c r="G108" s="272"/>
      <c r="H108" s="272"/>
      <c r="I108" s="272"/>
      <c r="J108" s="272"/>
      <c r="K108" s="272"/>
      <c r="L108" s="272"/>
      <c r="M108" s="272"/>
      <c r="N108" s="272"/>
      <c r="O108" s="272"/>
      <c r="P108" s="272"/>
      <c r="Q108" s="272"/>
      <c r="R108" s="272"/>
    </row>
    <row r="109" spans="1:18" ht="34.5" customHeight="1" x14ac:dyDescent="0.3">
      <c r="A109" s="12"/>
      <c r="B109" s="272"/>
      <c r="C109" s="272"/>
      <c r="D109" s="272"/>
      <c r="E109" s="272"/>
      <c r="F109" s="272"/>
      <c r="G109" s="272"/>
      <c r="H109" s="272"/>
      <c r="I109" s="272"/>
      <c r="J109" s="272"/>
      <c r="K109" s="272"/>
      <c r="L109" s="272"/>
      <c r="M109" s="272"/>
      <c r="N109" s="272"/>
      <c r="O109" s="272"/>
      <c r="P109" s="272"/>
      <c r="Q109" s="272"/>
      <c r="R109" s="272"/>
    </row>
    <row r="110" spans="1:18" x14ac:dyDescent="0.3"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49"/>
    </row>
    <row r="111" spans="1:18" ht="33.75" customHeight="1" x14ac:dyDescent="0.3">
      <c r="A111" s="12"/>
      <c r="B111" s="273" t="s">
        <v>358</v>
      </c>
      <c r="C111" s="274"/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  <c r="N111" s="274"/>
      <c r="O111" s="274"/>
      <c r="P111" s="274"/>
      <c r="Q111" s="274"/>
      <c r="R111" s="275"/>
    </row>
    <row r="112" spans="1:18" ht="51" customHeight="1" x14ac:dyDescent="0.3">
      <c r="A112" s="12"/>
      <c r="B112" s="272" t="s">
        <v>71</v>
      </c>
      <c r="C112" s="276"/>
      <c r="D112" s="276"/>
      <c r="E112" s="276"/>
      <c r="F112" s="276"/>
      <c r="G112" s="276"/>
      <c r="H112" s="276"/>
      <c r="I112" s="276"/>
      <c r="J112" s="276"/>
      <c r="K112" s="276"/>
      <c r="L112" s="276"/>
      <c r="M112" s="276"/>
      <c r="N112" s="276"/>
      <c r="O112" s="276"/>
      <c r="P112" s="276"/>
      <c r="Q112" s="276"/>
      <c r="R112" s="276"/>
    </row>
    <row r="113" spans="2:18" ht="10.5" customHeight="1" thickBot="1" x14ac:dyDescent="0.35">
      <c r="B113" s="269" t="s">
        <v>6</v>
      </c>
      <c r="C113" s="269"/>
      <c r="D113" s="269"/>
      <c r="E113" s="269"/>
      <c r="F113" s="269"/>
      <c r="G113" s="269"/>
      <c r="H113" s="269"/>
      <c r="I113" s="269"/>
      <c r="J113" s="269"/>
      <c r="K113" s="269"/>
      <c r="L113" s="269"/>
      <c r="M113" s="269"/>
      <c r="N113" s="269"/>
      <c r="O113" s="269"/>
      <c r="P113" s="269"/>
      <c r="Q113" s="269"/>
      <c r="R113" s="269"/>
    </row>
    <row r="114" spans="2:18" ht="32.25" customHeight="1" thickTop="1" thickBot="1" x14ac:dyDescent="0.35">
      <c r="B114" s="269"/>
      <c r="C114" s="269"/>
      <c r="D114" s="269"/>
      <c r="E114" s="269"/>
      <c r="F114" s="269"/>
      <c r="G114" s="269"/>
      <c r="H114" s="269"/>
      <c r="I114" s="269"/>
      <c r="J114" s="269"/>
      <c r="K114" s="269"/>
      <c r="L114" s="269"/>
      <c r="M114" s="269"/>
      <c r="N114" s="269"/>
      <c r="O114" s="269"/>
      <c r="P114" s="269"/>
      <c r="Q114" s="269"/>
      <c r="R114" s="269"/>
    </row>
  </sheetData>
  <sheetProtection selectLockedCells="1"/>
  <mergeCells count="14">
    <mergeCell ref="B113:R114"/>
    <mergeCell ref="B103:R103"/>
    <mergeCell ref="B104:R105"/>
    <mergeCell ref="B106:R107"/>
    <mergeCell ref="B108:R109"/>
    <mergeCell ref="B111:R111"/>
    <mergeCell ref="B112:R112"/>
    <mergeCell ref="B1:R1"/>
    <mergeCell ref="B3:P3"/>
    <mergeCell ref="Q3:R3"/>
    <mergeCell ref="B101:R102"/>
    <mergeCell ref="B95:R96"/>
    <mergeCell ref="B97:R98"/>
    <mergeCell ref="B99:R99"/>
  </mergeCells>
  <phoneticPr fontId="18" type="noConversion"/>
  <pageMargins left="0.25" right="0.25" top="0.75" bottom="0.75" header="0.3" footer="0.3"/>
  <pageSetup paperSize="9" scale="54" firstPageNumber="0" fitToHeight="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4">
    <pageSetUpPr fitToPage="1"/>
  </sheetPr>
  <dimension ref="A1:L214"/>
  <sheetViews>
    <sheetView showGridLines="0" workbookViewId="0">
      <selection activeCell="C31" sqref="C31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13" width="5" customWidth="1"/>
    <col min="14" max="14" width="38.44140625" customWidth="1"/>
    <col min="15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51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25"/>
      <c r="I5" s="69"/>
      <c r="J5" s="253">
        <v>-92.8</v>
      </c>
      <c r="K5" s="254"/>
      <c r="L5" s="254">
        <v>220</v>
      </c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>Receita</v>
      </c>
      <c r="C6" s="29" t="str">
        <f>IF(IF(ISERROR(VLOOKUP(D6,Codigo!$B$4:$C$67,2,FALSE)),"",VLOOKUP(D6,Codigo!$B$4:$C$67,2,FALSE))=D6,"",VLOOKUP(D6,(Codigo!$B$2:$D$67),3,FALSE))</f>
        <v>Aposentadoria</v>
      </c>
      <c r="D6" s="59" t="s">
        <v>88</v>
      </c>
      <c r="E6" s="60">
        <v>40909</v>
      </c>
      <c r="F6" s="28" t="s">
        <v>423</v>
      </c>
      <c r="G6" s="33">
        <v>1000</v>
      </c>
      <c r="H6" s="138" t="s">
        <v>297</v>
      </c>
      <c r="J6" s="255">
        <f>IF(H6="",(""),IF(H6="DP",(J5+G6),IF(H6="DB",(J5-G6),IF(H6="TR",(J5-G6),IF(H6="CH",(J5-G6),IF(H6="SQ",(J5-G6),J5))))))</f>
        <v>907.2</v>
      </c>
      <c r="K6" s="256">
        <f>IF(H6="",(""),IF(H6="SQ",(K5+G6),IF(H6="RD",(K5+G6),IF(H6="DI",(K5-G6),K5))))</f>
        <v>0</v>
      </c>
      <c r="L6" s="256">
        <f>IF(H6="",(""),IF(H6="CC",(L5+G6),IF(H6="PC",(L5+G6),L5)))</f>
        <v>220</v>
      </c>
    </row>
    <row r="7" spans="1:12" x14ac:dyDescent="0.3">
      <c r="B7" s="29" t="str">
        <f>IF(IF(ISERROR(VLOOKUP(D7,Codigo!$B$4:$C$67,2,FALSE)),"",VLOOKUP(D7,Codigo!$B$4:$C$67,2,FALSE))=D7,"",VLOOKUP(D7,(Codigo!$B$4:$C$67),2,FALSE))</f>
        <v>Alimentação</v>
      </c>
      <c r="C7" s="29" t="str">
        <f>IF(IF(ISERROR(VLOOKUP(D7,Codigo!$B$4:$C$67,2,FALSE)),"",VLOOKUP(D7,Codigo!$B$4:$C$67,2,FALSE))=D7,"",VLOOKUP(D7,(Codigo!$B$2:$D$67),3,FALSE))</f>
        <v>Supermercado</v>
      </c>
      <c r="D7" s="59" t="s">
        <v>419</v>
      </c>
      <c r="E7" s="60">
        <v>41275</v>
      </c>
      <c r="F7" s="28" t="s">
        <v>420</v>
      </c>
      <c r="G7" s="33">
        <v>500</v>
      </c>
      <c r="H7" s="138" t="s">
        <v>425</v>
      </c>
      <c r="J7" s="255">
        <f t="shared" ref="J7:J70" si="0">IF(H7="",(""),IF(H7="DP",(J6+G7),IF(H7="DB",(J6-G7),IF(H7="TR",(J6-G7),IF(H7="CH",(J6-G7),IF(H7="SQ",(J6-G7),J6))))))</f>
        <v>407.20000000000005</v>
      </c>
      <c r="K7" s="256">
        <f t="shared" ref="K7:K70" si="1">IF(H7="",(""),IF(H7="SQ",(K6+G7),IF(H7="RD",(K6+G7),IF(H7="DI",(K6-G7),K6))))</f>
        <v>0</v>
      </c>
      <c r="L7" s="256">
        <f t="shared" ref="L7:L70" si="2">IF(H7="",(""),IF(H7="CC",(L6+G7),IF(H7="PC",(L6+G7),L6)))</f>
        <v>220</v>
      </c>
    </row>
    <row r="8" spans="1:12" x14ac:dyDescent="0.3">
      <c r="B8" s="29" t="str">
        <f>IF(IF(ISERROR(VLOOKUP(D8,Codigo!$B$4:$C$67,2,FALSE)),"",VLOOKUP(D8,Codigo!$B$4:$C$67,2,FALSE))=D8,"",VLOOKUP(D8,(Codigo!$B$4:$C$67),2,FALSE))</f>
        <v>Serviços Financeiros</v>
      </c>
      <c r="C8" s="29" t="str">
        <f>IF(IF(ISERROR(VLOOKUP(D8,Codigo!$B$4:$C$67,2,FALSE)),"",VLOOKUP(D8,Codigo!$B$4:$C$67,2,FALSE))=D8,"",VLOOKUP(D8,(Codigo!$B$2:$D$67),3,FALSE))</f>
        <v>Previdência privada</v>
      </c>
      <c r="D8" s="59" t="s">
        <v>418</v>
      </c>
      <c r="E8" s="60">
        <v>1</v>
      </c>
      <c r="F8" s="28" t="s">
        <v>429</v>
      </c>
      <c r="G8" s="33">
        <v>500</v>
      </c>
      <c r="H8" s="138" t="s">
        <v>421</v>
      </c>
      <c r="J8" s="255">
        <f t="shared" si="0"/>
        <v>-92.799999999999955</v>
      </c>
      <c r="K8" s="256">
        <f t="shared" si="1"/>
        <v>0</v>
      </c>
      <c r="L8" s="256">
        <f t="shared" si="2"/>
        <v>220</v>
      </c>
    </row>
    <row r="9" spans="1:12" x14ac:dyDescent="0.3">
      <c r="B9" s="29" t="str">
        <f>IF(IF(ISERROR(VLOOKUP(D9,Codigo!$B$4:$C$67,2,FALSE)),"",VLOOKUP(D9,Codigo!$B$4:$C$67,2,FALSE))=D9,"",VLOOKUP(D9,(Codigo!$B$4:$C$67),2,FALSE))</f>
        <v>Alimentação</v>
      </c>
      <c r="C9" s="29" t="str">
        <f>IF(IF(ISERROR(VLOOKUP(D9,Codigo!$B$4:$C$67,2,FALSE)),"",VLOOKUP(D9,Codigo!$B$4:$C$67,2,FALSE))=D9,"",VLOOKUP(D9,(Codigo!$B$2:$D$67),3,FALSE))</f>
        <v>Supermercado</v>
      </c>
      <c r="D9" s="59" t="s">
        <v>419</v>
      </c>
      <c r="E9" s="60">
        <v>41275</v>
      </c>
      <c r="F9" s="28" t="s">
        <v>424</v>
      </c>
      <c r="G9" s="33">
        <v>650</v>
      </c>
      <c r="H9" s="138" t="s">
        <v>422</v>
      </c>
      <c r="J9" s="255">
        <f t="shared" si="0"/>
        <v>-92.799999999999955</v>
      </c>
      <c r="K9" s="256">
        <f t="shared" si="1"/>
        <v>0</v>
      </c>
      <c r="L9" s="256">
        <f t="shared" si="2"/>
        <v>870</v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5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"/>
    <protectedRange password="C0D7" sqref="E9:E75 F10 F12:F75" name="Lançamentos_1"/>
    <protectedRange password="C0D7" sqref="H9:H75" name="Lançamentos_1_2_1"/>
    <protectedRange password="C0D7" sqref="G9:G75" name="Lançamentos_1_1"/>
    <protectedRange password="C117" sqref="D10:D75" name="Código_1_1"/>
    <protectedRange password="C0D7" sqref="F9" name="Lançamentos_2"/>
    <protectedRange password="C117" sqref="D9" name="Código_1"/>
    <protectedRange password="C0D7" sqref="E6:E8" name="Lançamentos_1_2"/>
    <protectedRange password="C0D7" sqref="H6:H8" name="Lançamentos_1_2_1_1"/>
    <protectedRange password="C0D7" sqref="G6:G8" name="Lançamentos_1_1_1"/>
    <protectedRange password="C0D7" sqref="F6:F8" name="Lançamentos_2_1"/>
    <protectedRange password="C117" sqref="D6:D8" name="Código_1_2"/>
  </protectedRanges>
  <mergeCells count="3">
    <mergeCell ref="J3:K3"/>
    <mergeCell ref="H3:H4"/>
    <mergeCell ref="J2:L2"/>
  </mergeCells>
  <phoneticPr fontId="18" type="noConversion"/>
  <pageMargins left="0.24027777777777778" right="0.24027777777777778" top="0.1701388888888889" bottom="0.17986111111111111" header="0.51180555555555551" footer="0.51180555555555551"/>
  <pageSetup paperSize="9" scale="70" firstPageNumber="0" orientation="portrait" horizontalDpi="300" verticalDpi="300" r:id="rId1"/>
  <headerFooter alignWithMargins="0"/>
  <ignoredErrors>
    <ignoredError sqref="B8:C46 B47:C74" emptyCellReferenc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770" r:id="rId4" name="Drop Down 698">
              <controlPr defaultSize="0" autoLine="0" autoPict="0">
                <anchor moveWithCells="1">
                  <from>
                    <xdr:col>3</xdr:col>
                    <xdr:colOff>7620</xdr:colOff>
                    <xdr:row>4</xdr:row>
                    <xdr:rowOff>7620</xdr:rowOff>
                  </from>
                  <to>
                    <xdr:col>5</xdr:col>
                    <xdr:colOff>2979420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9" r:id="rId5" name="Drop Down 887">
              <controlPr defaultSize="0" autoLine="0" autoPict="0">
                <anchor moveWithCells="1">
                  <from>
                    <xdr:col>5</xdr:col>
                    <xdr:colOff>2979420</xdr:colOff>
                    <xdr:row>4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5"/>
  <dimension ref="A1:L214"/>
  <sheetViews>
    <sheetView showGridLines="0" workbookViewId="0">
      <pane xSplit="3" ySplit="5" topLeftCell="F33" activePane="bottomRight" state="frozen"/>
      <selection pane="topRight" activeCell="D1" sqref="D1"/>
      <selection pane="bottomLeft" activeCell="A6" sqref="A6"/>
      <selection pane="bottomRight" activeCell="L6" sqref="L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52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protectedRanges>
    <protectedRange password="C0D7" sqref="B6:C75" name="Lançamentos_3"/>
    <protectedRange password="C0D7" sqref="E72:F75" name="Lançamentos_1_4"/>
    <protectedRange password="C0D7" sqref="H72:H75" name="Lançamentos_1_2_1_4"/>
    <protectedRange password="C0D7" sqref="G72:G75" name="Lançamentos_1_1_4"/>
    <protectedRange password="C117" sqref="D72:D75" name="Código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"/>
    <protectedRange password="C117" sqref="D6:D9" name="Código_1"/>
  </protectedRanges>
  <mergeCells count="3">
    <mergeCell ref="J3:K3"/>
    <mergeCell ref="J2:L2"/>
    <mergeCell ref="H3:H4"/>
  </mergeCells>
  <pageMargins left="0.23622047244094491" right="0.23622047244094491" top="0.15748031496062992" bottom="0.15748031496062992" header="0.31496062992125984" footer="0.31496062992125984"/>
  <pageSetup paperSize="9" scale="69" fitToHeight="2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7361" r:id="rId4" name="Drop Down 449">
              <controlPr defaultSize="0" autoLine="0" autoPict="0">
                <anchor moveWithCells="1">
                  <from>
                    <xdr:col>3</xdr:col>
                    <xdr:colOff>0</xdr:colOff>
                    <xdr:row>4</xdr:row>
                    <xdr:rowOff>0</xdr:rowOff>
                  </from>
                  <to>
                    <xdr:col>5</xdr:col>
                    <xdr:colOff>2979420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62" r:id="rId5" name="Drop Down 450">
              <controlPr defaultSize="0" autoLine="0" autoPict="0">
                <anchor moveWithCells="1">
                  <from>
                    <xdr:col>5</xdr:col>
                    <xdr:colOff>2979420</xdr:colOff>
                    <xdr:row>4</xdr:row>
                    <xdr:rowOff>7620</xdr:rowOff>
                  </from>
                  <to>
                    <xdr:col>8</xdr:col>
                    <xdr:colOff>7620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6">
    <pageSetUpPr fitToPage="1"/>
  </sheetPr>
  <dimension ref="A1:L214"/>
  <sheetViews>
    <sheetView showGridLines="0" workbookViewId="0">
      <pane xSplit="3" ySplit="5" topLeftCell="D51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53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protectedRanges>
    <protectedRange password="C0D7" sqref="B6:C75" name="Lançamentos_2"/>
    <protectedRange password="C0D7" sqref="E72:E75 F72:F75" name="Lançamentos_1_3"/>
    <protectedRange password="C0D7" sqref="H72:H75" name="Lançamentos_1_2_1_3"/>
    <protectedRange password="C0D7" sqref="G72:G75" name="Lançamentos_1_1_3"/>
    <protectedRange password="C117" sqref="D72:D75" name="Código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_1"/>
    <protectedRange password="C117" sqref="D6:D9" name="Código_1"/>
  </protectedRanges>
  <mergeCells count="3">
    <mergeCell ref="J3:K3"/>
    <mergeCell ref="J2:L2"/>
    <mergeCell ref="H3:H4"/>
  </mergeCells>
  <pageMargins left="0.23622047244094491" right="0.23622047244094491" top="0.35433070866141736" bottom="0.35433070866141736" header="0.31496062992125984" footer="0.31496062992125984"/>
  <pageSetup paperSize="9" scale="67" fitToWidth="2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8487" r:id="rId4" name="Drop Down 551">
              <controlPr defaultSize="0" autoLine="0" autoPict="0">
                <anchor moveWithCells="1">
                  <from>
                    <xdr:col>3</xdr:col>
                    <xdr:colOff>0</xdr:colOff>
                    <xdr:row>4</xdr:row>
                    <xdr:rowOff>7620</xdr:rowOff>
                  </from>
                  <to>
                    <xdr:col>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88" r:id="rId5" name="Drop Down 552">
              <controlPr defaultSize="0" autoLine="0" autoPict="0">
                <anchor moveWithCells="1">
                  <from>
                    <xdr:col>6</xdr:col>
                    <xdr:colOff>0</xdr:colOff>
                    <xdr:row>4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7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54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_2"/>
    <protectedRange password="C0D7" sqref="E72:E75 F72:F75" name="Lançamentos_1_3"/>
    <protectedRange password="C0D7" sqref="H72:H75" name="Lançamentos_1_2_1_3"/>
    <protectedRange password="C0D7" sqref="G72:G75" name="Lançamentos_1_1_3"/>
    <protectedRange password="C117" sqref="D72:D75" name="Código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_1"/>
    <protectedRange password="C117" sqref="D6:D9" name="Código_1"/>
  </protectedRanges>
  <mergeCells count="3">
    <mergeCell ref="J3:K3"/>
    <mergeCell ref="J2:L2"/>
    <mergeCell ref="H3:H4"/>
  </mergeCells>
  <phoneticPr fontId="18" type="noConversion"/>
  <pageMargins left="0.24027777777777778" right="0.24027777777777778" top="0.19027777777777777" bottom="0.19027777777777777" header="0.51180555555555551" footer="0.51180555555555551"/>
  <pageSetup paperSize="9" scale="6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767" r:id="rId4" name="Drop Down 647">
              <controlPr defaultSize="0" autoLine="0" autoPict="0">
                <anchor moveWithCells="1">
                  <from>
                    <xdr:col>3</xdr:col>
                    <xdr:colOff>0</xdr:colOff>
                    <xdr:row>4</xdr:row>
                    <xdr:rowOff>7620</xdr:rowOff>
                  </from>
                  <to>
                    <xdr:col>5</xdr:col>
                    <xdr:colOff>2979420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8" r:id="rId5" name="Drop Down 648">
              <controlPr defaultSize="0" autoLine="0" autoPict="0">
                <anchor moveWithCells="1">
                  <from>
                    <xdr:col>6</xdr:col>
                    <xdr:colOff>0</xdr:colOff>
                    <xdr:row>4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55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_2"/>
    <protectedRange password="C0D7" sqref="E72:E75 F72:F75" name="Lançamentos_1_3"/>
    <protectedRange password="C0D7" sqref="H72:H75" name="Lançamentos_1_2_1_3"/>
    <protectedRange password="C0D7" sqref="G72:G75" name="Lançamentos_1_1_3"/>
    <protectedRange password="C117" sqref="D72:D75" name="Código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_1"/>
    <protectedRange password="C117" sqref="D6:D9" name="Código_1"/>
  </protectedRanges>
  <mergeCells count="3">
    <mergeCell ref="J3:K3"/>
    <mergeCell ref="J2:L2"/>
    <mergeCell ref="H3:H4"/>
  </mergeCells>
  <phoneticPr fontId="18" type="noConversion"/>
  <pageMargins left="0.24027777777777778" right="0.24027777777777778" top="0.2" bottom="0.1701388888888889" header="0.51180555555555551" footer="0.51180555555555551"/>
  <pageSetup paperSize="9" scale="6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05" r:id="rId4" name="Drop Down 761">
              <controlPr defaultSize="0" autoLine="0" autoPict="0">
                <anchor moveWithCells="1">
                  <from>
                    <xdr:col>3</xdr:col>
                    <xdr:colOff>0</xdr:colOff>
                    <xdr:row>4</xdr:row>
                    <xdr:rowOff>7620</xdr:rowOff>
                  </from>
                  <to>
                    <xdr:col>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6" r:id="rId5" name="Drop Down 762">
              <controlPr defaultSize="0" autoLine="0" autoPict="0">
                <anchor mov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8</xdr:col>
                    <xdr:colOff>7620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9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56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_2"/>
    <protectedRange password="C0D7" sqref="E72:E75 F72:F75" name="Lançamentos_1_3"/>
    <protectedRange password="C0D7" sqref="H72:H75" name="Lançamentos_1_2_1_3"/>
    <protectedRange password="C0D7" sqref="G72:G75" name="Lançamentos_1_1_3"/>
    <protectedRange password="C117" sqref="D72:D75" name="Código_1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_1"/>
    <protectedRange password="C117" sqref="D6:D9" name="Código_1"/>
  </protectedRanges>
  <mergeCells count="3">
    <mergeCell ref="J3:K3"/>
    <mergeCell ref="J2:L2"/>
    <mergeCell ref="H3:H4"/>
  </mergeCells>
  <phoneticPr fontId="18" type="noConversion"/>
  <pageMargins left="0.23622047244094491" right="0.23622047244094491" top="0.15748031496062992" bottom="0.15748031496062992" header="0.51181102362204722" footer="0.51181102362204722"/>
  <pageSetup paperSize="9" scale="69" firstPageNumber="0" fitToWidth="2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077" r:id="rId4" name="Drop Down 909">
              <controlPr defaultSize="0" autoLine="0" autoPict="0">
                <anchor moveWithCells="1">
                  <from>
                    <xdr:col>3</xdr:col>
                    <xdr:colOff>0</xdr:colOff>
                    <xdr:row>4</xdr:row>
                    <xdr:rowOff>7620</xdr:rowOff>
                  </from>
                  <to>
                    <xdr:col>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8" r:id="rId5" name="Drop Down 910">
              <controlPr defaultSize="0" autoLine="0" autoPict="0">
                <anchor moveWithCells="1">
                  <from>
                    <xdr:col>6</xdr:col>
                    <xdr:colOff>0</xdr:colOff>
                    <xdr:row>4</xdr:row>
                    <xdr:rowOff>7620</xdr:rowOff>
                  </from>
                  <to>
                    <xdr:col>8</xdr:col>
                    <xdr:colOff>7620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57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_2"/>
    <protectedRange password="C0D7" sqref="E72:E75 F72:F75" name="Lançamentos_1_3"/>
    <protectedRange password="C0D7" sqref="H72:H75" name="Lançamentos_1_2_1_3"/>
    <protectedRange password="C0D7" sqref="G72:G75" name="Lançamentos_1_1_3"/>
    <protectedRange password="C117" sqref="D72:D75" name="Código_1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_1"/>
    <protectedRange password="C117" sqref="D6:D9" name="Código_1"/>
  </protectedRanges>
  <mergeCells count="3">
    <mergeCell ref="J3:K3"/>
    <mergeCell ref="J2:L2"/>
    <mergeCell ref="H3:H4"/>
  </mergeCells>
  <phoneticPr fontId="18" type="noConversion"/>
  <pageMargins left="0.24027777777777778" right="0.24027777777777778" top="0.20972222222222223" bottom="0.27986111111111112" header="0.51180555555555551" footer="0.51180555555555551"/>
  <pageSetup paperSize="9" scale="6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009" r:id="rId4" name="Drop Down 817">
              <controlPr defaultSize="0" autoLine="0" autoPict="0">
                <anchor moveWithCells="1">
                  <from>
                    <xdr:col>2</xdr:col>
                    <xdr:colOff>2118360</xdr:colOff>
                    <xdr:row>4</xdr:row>
                    <xdr:rowOff>7620</xdr:rowOff>
                  </from>
                  <to>
                    <xdr:col>6</xdr:col>
                    <xdr:colOff>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0" r:id="rId5" name="Drop Down 818">
              <controlPr defaultSize="0" autoLine="0" autoPict="0">
                <anchor moveWithCells="1">
                  <from>
                    <xdr:col>6</xdr:col>
                    <xdr:colOff>0</xdr:colOff>
                    <xdr:row>4</xdr:row>
                    <xdr:rowOff>7620</xdr:rowOff>
                  </from>
                  <to>
                    <xdr:col>8</xdr:col>
                    <xdr:colOff>7620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1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58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_2"/>
    <protectedRange password="C0D7" sqref="E72:E75 F72:F75" name="Lançamentos_1_3_1"/>
    <protectedRange password="C0D7" sqref="H72:H75" name="Lançamentos_1_2_1_3"/>
    <protectedRange password="C0D7" sqref="G72:G75" name="Lançamentos_1_1_3"/>
    <protectedRange password="C117" sqref="D72:D75" name="Código_1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_1"/>
    <protectedRange password="C117" sqref="D6:D9" name="Código_1"/>
  </protectedRanges>
  <mergeCells count="3">
    <mergeCell ref="J3:K3"/>
    <mergeCell ref="J2:L2"/>
    <mergeCell ref="H3:H4"/>
  </mergeCells>
  <phoneticPr fontId="18" type="noConversion"/>
  <pageMargins left="0.24027777777777778" right="0.24027777777777778" top="0.25" bottom="0.19027777777777777" header="0.51180555555555551" footer="0.51180555555555551"/>
  <pageSetup paperSize="9" scale="6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100" r:id="rId4" name="Drop Down 884">
              <controlPr defaultSize="0" autoLine="0" autoPict="0">
                <anchor moveWithCells="1">
                  <from>
                    <xdr:col>2</xdr:col>
                    <xdr:colOff>2118360</xdr:colOff>
                    <xdr:row>4</xdr:row>
                    <xdr:rowOff>7620</xdr:rowOff>
                  </from>
                  <to>
                    <xdr:col>6</xdr:col>
                    <xdr:colOff>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01" r:id="rId5" name="Drop Down 885">
              <controlPr defaultSize="0" autoLine="0" autoPict="0">
                <anchor moveWithCells="1">
                  <from>
                    <xdr:col>6</xdr:col>
                    <xdr:colOff>0</xdr:colOff>
                    <xdr:row>4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2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59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_2"/>
    <protectedRange password="C0D7" sqref="E72:E75 F72:F75" name="Lançamentos_1_3_1"/>
    <protectedRange password="C0D7" sqref="H72:H75" name="Lançamentos_1_2_1_3"/>
    <protectedRange password="C0D7" sqref="G72:G75" name="Lançamentos_1_1_3"/>
    <protectedRange password="C117" sqref="D72:D75" name="Código_1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_1"/>
    <protectedRange password="C117" sqref="D6:D9" name="Código_1"/>
  </protectedRanges>
  <mergeCells count="3">
    <mergeCell ref="J3:K3"/>
    <mergeCell ref="J2:L2"/>
    <mergeCell ref="H3:H4"/>
  </mergeCells>
  <phoneticPr fontId="18" type="noConversion"/>
  <pageMargins left="0.24027777777777778" right="0.24027777777777778" top="0.22013888888888888" bottom="0.2" header="0.51180555555555551" footer="0.51180555555555551"/>
  <pageSetup paperSize="9" scale="6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02" r:id="rId4" name="Drop Down 962">
              <controlPr defaultSize="0" autoLine="0" autoPict="0">
                <anchor moveWithCells="1">
                  <from>
                    <xdr:col>2</xdr:col>
                    <xdr:colOff>2118360</xdr:colOff>
                    <xdr:row>4</xdr:row>
                    <xdr:rowOff>0</xdr:rowOff>
                  </from>
                  <to>
                    <xdr:col>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3" r:id="rId5" name="Drop Down 963">
              <controlPr defaultSize="0" autoLine="0" autoPict="0">
                <anchor moveWithCells="1">
                  <from>
                    <xdr:col>6</xdr:col>
                    <xdr:colOff>0</xdr:colOff>
                    <xdr:row>4</xdr:row>
                    <xdr:rowOff>7620</xdr:rowOff>
                  </from>
                  <to>
                    <xdr:col>8</xdr:col>
                    <xdr:colOff>22860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3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60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_2"/>
    <protectedRange password="C0D7" sqref="E72:E75 F72:F75" name="Lançamentos_1_3_1"/>
    <protectedRange password="C0D7" sqref="H72:H75" name="Lançamentos_1_2_1_3"/>
    <protectedRange password="C0D7" sqref="G72:G75" name="Lançamentos_1_1_3"/>
    <protectedRange password="C117" sqref="D72:D75" name="Código_1_1_1_1"/>
    <protectedRange password="C0D7" sqref="E6:E71 F10 F12:F71" name="Lançamentos_1"/>
    <protectedRange password="C0D7" sqref="H6:H71" name="Lançamentos_1_2_1"/>
    <protectedRange password="C0D7" sqref="G6:G71" name="Lançamentos_1_1"/>
    <protectedRange password="C117" sqref="D10:D71" name="Código_1_1"/>
    <protectedRange password="C0D7" sqref="F6:F9" name="Lançamentos_2_1"/>
    <protectedRange password="C117" sqref="D6:D9" name="Código_1"/>
  </protectedRanges>
  <mergeCells count="3">
    <mergeCell ref="J3:K3"/>
    <mergeCell ref="J2:L2"/>
    <mergeCell ref="H3:H4"/>
  </mergeCells>
  <phoneticPr fontId="18" type="noConversion"/>
  <pageMargins left="0.24027777777777778" right="0.24027777777777778" top="0.30972222222222223" bottom="0.2298611111111111" header="0.51180555555555551" footer="0.51180555555555551"/>
  <pageSetup paperSize="9" scale="68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6866" r:id="rId4" name="Drop Down 1042">
              <controlPr defaultSize="0" autoLine="0" autoPict="0">
                <anchor moveWithCells="1">
                  <from>
                    <xdr:col>2</xdr:col>
                    <xdr:colOff>2118360</xdr:colOff>
                    <xdr:row>4</xdr:row>
                    <xdr:rowOff>0</xdr:rowOff>
                  </from>
                  <to>
                    <xdr:col>6</xdr:col>
                    <xdr:colOff>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867" r:id="rId5" name="Drop Down 1043">
              <controlPr defaultSize="0" autoLine="0" autoPict="0">
                <anchor moveWithCells="1">
                  <from>
                    <xdr:col>6</xdr:col>
                    <xdr:colOff>0</xdr:colOff>
                    <xdr:row>4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4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61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/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/>
      </c>
      <c r="C6" s="29" t="str">
        <f>IF(IF(ISERROR(VLOOKUP(D6,Codigo!$B$4:$C$67,2,FALSE)),"",VLOOKUP(D6,Codigo!$B$4:$C$67,2,FALSE))=D6,"",VLOOKUP(D6,(Codigo!$B$2:$D$67),3,FALSE))</f>
        <v/>
      </c>
      <c r="D6" s="59"/>
      <c r="E6" s="60"/>
      <c r="F6" s="28"/>
      <c r="G6" s="33"/>
      <c r="H6" s="138"/>
      <c r="J6" s="255" t="str">
        <f>IF(H6="",(""),IF(H6="DP",(J5+G6),IF(H6="DB",(J5-G6),IF(H6="TR",(J5-G6),IF(H6="CH",(J5-G6),IF(H6="SQ",(J5-G6),J5))))))</f>
        <v/>
      </c>
      <c r="K6" s="256" t="str">
        <f>IF(H6="",(""),IF(H6="SQ",(K5+G6),IF(H6="RD",(K5+G6),IF(H6="DI",(K5-G6),K5))))</f>
        <v/>
      </c>
      <c r="L6" s="256" t="str">
        <f>IF(H6="",(""),IF(H6="CC",(L5+G6),IF(H6="PC",(L5+G6),L5)))</f>
        <v/>
      </c>
    </row>
    <row r="7" spans="1:12" x14ac:dyDescent="0.3">
      <c r="B7" s="29" t="str">
        <f>IF(IF(ISERROR(VLOOKUP(D7,Codigo!$B$4:$C$67,2,FALSE)),"",VLOOKUP(D7,Codigo!$B$4:$C$67,2,FALSE))=D7,"",VLOOKUP(D7,(Codigo!$B$4:$C$67),2,FALSE))</f>
        <v/>
      </c>
      <c r="C7" s="29" t="str">
        <f>IF(IF(ISERROR(VLOOKUP(D7,Codigo!$B$4:$C$67,2,FALSE)),"",VLOOKUP(D7,Codigo!$B$4:$C$67,2,FALSE))=D7,"",VLOOKUP(D7,(Codigo!$B$2:$D$67),3,FALSE))</f>
        <v/>
      </c>
      <c r="D7" s="59"/>
      <c r="E7" s="60"/>
      <c r="F7" s="28"/>
      <c r="G7" s="33"/>
      <c r="H7" s="138"/>
      <c r="J7" s="255" t="str">
        <f t="shared" ref="J7:J70" si="0">IF(H7="",(""),IF(H7="DP",(J6+G7),IF(H7="DB",(J6-G7),IF(H7="TR",(J6-G7),IF(H7="CH",(J6-G7),IF(H7="SQ",(J6-G7),J6))))))</f>
        <v/>
      </c>
      <c r="K7" s="256" t="str">
        <f t="shared" ref="K7:K70" si="1">IF(H7="",(""),IF(H7="SQ",(K6+G7),IF(H7="RD",(K6+G7),IF(H7="DI",(K6-G7),K6))))</f>
        <v/>
      </c>
      <c r="L7" s="256" t="str">
        <f t="shared" ref="L7:L70" si="2">IF(H7="",(""),IF(H7="CC",(L6+G7),IF(H7="PC",(L6+G7),L6)))</f>
        <v/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 selectUnlockedCells="1"/>
  <protectedRanges>
    <protectedRange password="C0D7" sqref="B6:C75" name="Lançamentos_2"/>
    <protectedRange password="C0D7" sqref="E72:E75 F72:F75" name="Lançamentos_1_3_1"/>
    <protectedRange password="C0D7" sqref="H72:H75" name="Lançamentos_1_2_1_3"/>
    <protectedRange password="C0D7" sqref="G72:G75" name="Lançamentos_1_1_3"/>
    <protectedRange password="C117" sqref="D72:D75" name="Código_1_1_1_1"/>
    <protectedRange password="C0D7" sqref="E6:E71 F10 F12:F71" name="Lançamentos_1_2"/>
    <protectedRange password="C0D7" sqref="H6:H71" name="Lançamentos_1_2_1_1"/>
    <protectedRange password="C0D7" sqref="G6:G71" name="Lançamentos_1_1_1"/>
    <protectedRange password="C117" sqref="D10:D71" name="Código_1_1_1"/>
    <protectedRange password="C0D7" sqref="F6:F9" name="Lançamentos_2_2"/>
    <protectedRange password="C117" sqref="D6:D9" name="Código_1_2"/>
  </protectedRanges>
  <mergeCells count="3">
    <mergeCell ref="J3:K3"/>
    <mergeCell ref="J2:L2"/>
    <mergeCell ref="H3:H4"/>
  </mergeCells>
  <phoneticPr fontId="18" type="noConversion"/>
  <pageMargins left="0.25" right="0.24027777777777778" top="0.25" bottom="0.2298611111111111" header="0.51180555555555551" footer="0.51180555555555551"/>
  <pageSetup paperSize="9" scale="6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66853" r:id="rId4" name="Drop Down 1125">
              <controlPr defaultSize="0" autoLine="0" autoPict="0">
                <anchor moveWithCells="1">
                  <from>
                    <xdr:col>2</xdr:col>
                    <xdr:colOff>2118360</xdr:colOff>
                    <xdr:row>4</xdr:row>
                    <xdr:rowOff>7620</xdr:rowOff>
                  </from>
                  <to>
                    <xdr:col>6</xdr:col>
                    <xdr:colOff>7620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854" r:id="rId5" name="Drop Down 1126">
              <controlPr defaultSize="0" autoLine="0" autoPict="0">
                <anchor moveWithCells="1">
                  <from>
                    <xdr:col>6</xdr:col>
                    <xdr:colOff>7620</xdr:colOff>
                    <xdr:row>4</xdr:row>
                    <xdr:rowOff>7620</xdr:rowOff>
                  </from>
                  <to>
                    <xdr:col>8</xdr:col>
                    <xdr:colOff>7620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1:L2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J6" sqref="J6"/>
    </sheetView>
  </sheetViews>
  <sheetFormatPr defaultColWidth="9.109375" defaultRowHeight="14.4" x14ac:dyDescent="0.3"/>
  <cols>
    <col min="1" max="1" width="0.88671875" customWidth="1"/>
    <col min="2" max="2" width="18.33203125" style="17" customWidth="1"/>
    <col min="3" max="3" width="31.88671875" customWidth="1"/>
    <col min="4" max="4" width="5.6640625" style="75" customWidth="1"/>
    <col min="5" max="5" width="7.6640625" customWidth="1"/>
    <col min="6" max="6" width="44.88671875" customWidth="1"/>
    <col min="7" max="7" width="11.88671875" style="17" customWidth="1"/>
    <col min="8" max="8" width="19.33203125" customWidth="1"/>
    <col min="9" max="9" width="0.88671875" style="71" customWidth="1"/>
    <col min="10" max="10" width="15.5546875" style="65" customWidth="1"/>
    <col min="11" max="11" width="14.6640625" style="65" customWidth="1"/>
    <col min="12" max="12" width="15.88671875" style="65" customWidth="1"/>
    <col min="13" max="44" width="38.44140625" bestFit="1" customWidth="1"/>
    <col min="45" max="45" width="10.5546875" bestFit="1" customWidth="1"/>
  </cols>
  <sheetData>
    <row r="1" spans="1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</row>
    <row r="2" spans="1:12" ht="24.75" customHeight="1" x14ac:dyDescent="0.3">
      <c r="B2" s="148" t="s">
        <v>280</v>
      </c>
      <c r="C2" s="66"/>
      <c r="D2" s="67"/>
      <c r="E2" s="66"/>
      <c r="F2" s="149" t="s">
        <v>62</v>
      </c>
      <c r="G2" s="145"/>
      <c r="H2" s="147">
        <f>+Instruções!$I$19</f>
        <v>2026</v>
      </c>
      <c r="I2" s="146"/>
      <c r="J2" s="279" t="s">
        <v>244</v>
      </c>
      <c r="K2" s="279"/>
      <c r="L2" s="279"/>
    </row>
    <row r="3" spans="1:12" ht="15.75" customHeight="1" x14ac:dyDescent="0.35">
      <c r="B3" s="61"/>
      <c r="C3" s="61"/>
      <c r="D3" s="61"/>
      <c r="E3" s="55"/>
      <c r="F3" s="57"/>
      <c r="G3" s="58"/>
      <c r="H3" s="278" t="s">
        <v>66</v>
      </c>
      <c r="I3" s="68"/>
      <c r="J3" s="277" t="s">
        <v>278</v>
      </c>
      <c r="K3" s="277"/>
      <c r="L3" s="76"/>
    </row>
    <row r="4" spans="1:12" ht="18.75" customHeight="1" x14ac:dyDescent="0.3">
      <c r="B4" s="55" t="s">
        <v>150</v>
      </c>
      <c r="C4" s="55" t="s">
        <v>151</v>
      </c>
      <c r="D4" s="54" t="s">
        <v>77</v>
      </c>
      <c r="E4" s="55" t="s">
        <v>72</v>
      </c>
      <c r="F4" s="56" t="s">
        <v>81</v>
      </c>
      <c r="G4" s="55" t="s">
        <v>78</v>
      </c>
      <c r="H4" s="278"/>
      <c r="I4" s="69"/>
      <c r="J4" s="70" t="s">
        <v>277</v>
      </c>
      <c r="K4" s="70" t="s">
        <v>245</v>
      </c>
      <c r="L4" s="70" t="s">
        <v>279</v>
      </c>
    </row>
    <row r="5" spans="1:12" ht="16.5" customHeight="1" x14ac:dyDescent="0.35">
      <c r="B5" s="106"/>
      <c r="C5" s="107"/>
      <c r="D5" s="54"/>
      <c r="E5" s="55"/>
      <c r="F5" s="57"/>
      <c r="G5" s="58"/>
      <c r="H5" s="153"/>
      <c r="I5" s="69"/>
      <c r="J5" s="253">
        <v>-165</v>
      </c>
      <c r="K5" s="254"/>
      <c r="L5" s="254"/>
    </row>
    <row r="6" spans="1:12" x14ac:dyDescent="0.3">
      <c r="A6">
        <v>1</v>
      </c>
      <c r="B6" s="29" t="str">
        <f>IF(IF(ISERROR(VLOOKUP(D6,Codigo!$B$4:$C$67,2,FALSE)),"",VLOOKUP(D6,Codigo!$B$4:$C$67,2,FALSE))=D6,"",VLOOKUP(D6,(Codigo!$B$4:$C$67),2,FALSE))</f>
        <v>Receita</v>
      </c>
      <c r="C6" s="29" t="str">
        <f>IF(IF(ISERROR(VLOOKUP(D6,Codigo!$B$4:$C$67,2,FALSE)),"",VLOOKUP(D6,Codigo!$B$4:$C$67,2,FALSE))=D6,"",VLOOKUP(D6,(Codigo!$B$2:$D$67),3,FALSE))</f>
        <v>13º salário</v>
      </c>
      <c r="D6" s="59" t="s">
        <v>409</v>
      </c>
      <c r="E6" s="60">
        <v>41255</v>
      </c>
      <c r="F6" s="28" t="s">
        <v>413</v>
      </c>
      <c r="G6" s="33">
        <v>750</v>
      </c>
      <c r="H6" s="138" t="s">
        <v>410</v>
      </c>
      <c r="J6" s="255">
        <f>IF(H6="",(""),IF(H6="DP",(J5+G6),IF(H6="DB",(J5-G6),IF(H6="TR",(J5-G6),IF(H6="CH",(J5-G6),IF(H6="SQ",(J5-G6),J5))))))</f>
        <v>585</v>
      </c>
      <c r="K6" s="256">
        <f>IF(H6="",(""),IF(H6="SQ",(K5+G6),IF(H6="RD",(K5+G6),IF(H6="DI",(K5-G6),K5))))</f>
        <v>0</v>
      </c>
      <c r="L6" s="256">
        <f>IF(H6="",(""),IF(H6="CC",(L5+G6),IF(H6="PC",(L5+G6),L5)))</f>
        <v>0</v>
      </c>
    </row>
    <row r="7" spans="1:12" x14ac:dyDescent="0.3">
      <c r="B7" s="29" t="str">
        <f>IF(IF(ISERROR(VLOOKUP(D7,Codigo!$B$4:$C$67,2,FALSE)),"",VLOOKUP(D7,Codigo!$B$4:$C$67,2,FALSE))=D7,"",VLOOKUP(D7,(Codigo!$B$4:$C$67),2,FALSE))</f>
        <v>Pessoais</v>
      </c>
      <c r="C7" s="29" t="str">
        <f>IF(IF(ISERROR(VLOOKUP(D7,Codigo!$B$4:$C$67,2,FALSE)),"",VLOOKUP(D7,Codigo!$B$4:$C$67,2,FALSE))=D7,"",VLOOKUP(D7,(Codigo!$B$2:$D$67),3,FALSE))</f>
        <v>Vestuário / Calçados / Acessórios</v>
      </c>
      <c r="D7" s="59" t="s">
        <v>276</v>
      </c>
      <c r="E7" s="60">
        <v>41259</v>
      </c>
      <c r="F7" s="28" t="s">
        <v>414</v>
      </c>
      <c r="G7" s="33">
        <v>15</v>
      </c>
      <c r="H7" s="138" t="s">
        <v>411</v>
      </c>
      <c r="J7" s="255">
        <f t="shared" ref="J7:J70" si="0">IF(H7="",(""),IF(H7="DP",(J6+G7),IF(H7="DB",(J6-G7),IF(H7="TR",(J6-G7),IF(H7="CH",(J6-G7),IF(H7="SQ",(J6-G7),J6))))))</f>
        <v>570</v>
      </c>
      <c r="K7" s="256">
        <f t="shared" ref="K7:K70" si="1">IF(H7="",(""),IF(H7="SQ",(K6+G7),IF(H7="RD",(K6+G7),IF(H7="DI",(K6-G7),K6))))</f>
        <v>0</v>
      </c>
      <c r="L7" s="256">
        <f t="shared" ref="L7:L70" si="2">IF(H7="",(""),IF(H7="CC",(L6+G7),IF(H7="PC",(L6+G7),L6)))</f>
        <v>0</v>
      </c>
    </row>
    <row r="8" spans="1:12" x14ac:dyDescent="0.3">
      <c r="B8" s="29" t="str">
        <f>IF(IF(ISERROR(VLOOKUP(D8,Codigo!$B$4:$C$67,2,FALSE)),"",VLOOKUP(D8,Codigo!$B$4:$C$67,2,FALSE))=D8,"",VLOOKUP(D8,(Codigo!$B$4:$C$67),2,FALSE))</f>
        <v/>
      </c>
      <c r="C8" s="29" t="str">
        <f>IF(IF(ISERROR(VLOOKUP(D8,Codigo!$B$4:$C$67,2,FALSE)),"",VLOOKUP(D8,Codigo!$B$4:$C$67,2,FALSE))=D8,"",VLOOKUP(D8,(Codigo!$B$2:$D$67),3,FALSE))</f>
        <v/>
      </c>
      <c r="D8" s="59"/>
      <c r="E8" s="60"/>
      <c r="F8" s="28"/>
      <c r="G8" s="33"/>
      <c r="H8" s="138"/>
      <c r="J8" s="255" t="str">
        <f t="shared" si="0"/>
        <v/>
      </c>
      <c r="K8" s="256" t="str">
        <f t="shared" si="1"/>
        <v/>
      </c>
      <c r="L8" s="256" t="str">
        <f t="shared" si="2"/>
        <v/>
      </c>
    </row>
    <row r="9" spans="1:12" x14ac:dyDescent="0.3">
      <c r="B9" s="29" t="str">
        <f>IF(IF(ISERROR(VLOOKUP(D9,Codigo!$B$4:$C$67,2,FALSE)),"",VLOOKUP(D9,Codigo!$B$4:$C$67,2,FALSE))=D9,"",VLOOKUP(D9,(Codigo!$B$4:$C$67),2,FALSE))</f>
        <v/>
      </c>
      <c r="C9" s="29" t="str">
        <f>IF(IF(ISERROR(VLOOKUP(D9,Codigo!$B$4:$C$67,2,FALSE)),"",VLOOKUP(D9,Codigo!$B$4:$C$67,2,FALSE))=D9,"",VLOOKUP(D9,(Codigo!$B$2:$D$67),3,FALSE))</f>
        <v/>
      </c>
      <c r="D9" s="59"/>
      <c r="E9" s="60"/>
      <c r="F9" s="28"/>
      <c r="G9" s="33"/>
      <c r="H9" s="138"/>
      <c r="J9" s="255" t="str">
        <f t="shared" si="0"/>
        <v/>
      </c>
      <c r="K9" s="256" t="str">
        <f t="shared" si="1"/>
        <v/>
      </c>
      <c r="L9" s="256" t="str">
        <f t="shared" si="2"/>
        <v/>
      </c>
    </row>
    <row r="10" spans="1:12" x14ac:dyDescent="0.3">
      <c r="B10" s="29" t="str">
        <f>IF(IF(ISERROR(VLOOKUP(D10,Codigo!$B$4:$C$67,2,FALSE)),"",VLOOKUP(D10,Codigo!$B$4:$C$67,2,FALSE))=D10,"",VLOOKUP(D10,(Codigo!$B$4:$C$67),2,FALSE))</f>
        <v/>
      </c>
      <c r="C10" s="29" t="str">
        <f>IF(IF(ISERROR(VLOOKUP(D10,Codigo!$B$4:$C$67,2,FALSE)),"",VLOOKUP(D10,Codigo!$B$4:$C$67,2,FALSE))=D10,"",VLOOKUP(D10,(Codigo!$B$2:$D$67),3,FALSE))</f>
        <v/>
      </c>
      <c r="D10" s="59"/>
      <c r="E10" s="60"/>
      <c r="F10" s="28"/>
      <c r="G10" s="33"/>
      <c r="H10" s="138"/>
      <c r="J10" s="255" t="str">
        <f t="shared" si="0"/>
        <v/>
      </c>
      <c r="K10" s="256" t="str">
        <f t="shared" si="1"/>
        <v/>
      </c>
      <c r="L10" s="256" t="str">
        <f t="shared" si="2"/>
        <v/>
      </c>
    </row>
    <row r="11" spans="1:12" x14ac:dyDescent="0.3">
      <c r="B11" s="29" t="str">
        <f>IF(IF(ISERROR(VLOOKUP(D11,Codigo!$B$4:$C$67,2,FALSE)),"",VLOOKUP(D11,Codigo!$B$4:$C$67,2,FALSE))=D11,"",VLOOKUP(D11,(Codigo!$B$4:$C$67),2,FALSE))</f>
        <v/>
      </c>
      <c r="C11" s="29" t="str">
        <f>IF(IF(ISERROR(VLOOKUP(D11,Codigo!$B$4:$C$67,2,FALSE)),"",VLOOKUP(D11,Codigo!$B$4:$C$67,2,FALSE))=D11,"",VLOOKUP(D11,(Codigo!$B$2:$D$67),3,FALSE))</f>
        <v/>
      </c>
      <c r="D11" s="59"/>
      <c r="E11" s="60"/>
      <c r="G11" s="33"/>
      <c r="H11" s="138"/>
      <c r="J11" s="255" t="str">
        <f t="shared" si="0"/>
        <v/>
      </c>
      <c r="K11" s="256" t="str">
        <f t="shared" si="1"/>
        <v/>
      </c>
      <c r="L11" s="256" t="str">
        <f t="shared" si="2"/>
        <v/>
      </c>
    </row>
    <row r="12" spans="1:12" x14ac:dyDescent="0.3">
      <c r="B12" s="29" t="str">
        <f>IF(IF(ISERROR(VLOOKUP(D12,Codigo!$B$4:$C$67,2,FALSE)),"",VLOOKUP(D12,Codigo!$B$4:$C$67,2,FALSE))=D12,"",VLOOKUP(D12,(Codigo!$B$4:$C$67),2,FALSE))</f>
        <v/>
      </c>
      <c r="C12" s="29" t="str">
        <f>IF(IF(ISERROR(VLOOKUP(D12,Codigo!$B$4:$C$67,2,FALSE)),"",VLOOKUP(D12,Codigo!$B$4:$C$67,2,FALSE))=D12,"",VLOOKUP(D12,(Codigo!$B$2:$D$67),3,FALSE))</f>
        <v/>
      </c>
      <c r="D12" s="59"/>
      <c r="E12" s="60"/>
      <c r="F12" s="28"/>
      <c r="G12" s="33"/>
      <c r="H12" s="138"/>
      <c r="J12" s="255" t="str">
        <f t="shared" si="0"/>
        <v/>
      </c>
      <c r="K12" s="256" t="str">
        <f t="shared" si="1"/>
        <v/>
      </c>
      <c r="L12" s="256" t="str">
        <f t="shared" si="2"/>
        <v/>
      </c>
    </row>
    <row r="13" spans="1:12" x14ac:dyDescent="0.3">
      <c r="B13" s="29" t="str">
        <f>IF(IF(ISERROR(VLOOKUP(D13,Codigo!$B$4:$C$67,2,FALSE)),"",VLOOKUP(D13,Codigo!$B$4:$C$67,2,FALSE))=D13,"",VLOOKUP(D13,(Codigo!$B$4:$C$67),2,FALSE))</f>
        <v/>
      </c>
      <c r="C13" s="29" t="str">
        <f>IF(IF(ISERROR(VLOOKUP(D13,Codigo!$B$4:$C$67,2,FALSE)),"",VLOOKUP(D13,Codigo!$B$4:$C$67,2,FALSE))=D13,"",VLOOKUP(D13,(Codigo!$B$2:$D$67),3,FALSE))</f>
        <v/>
      </c>
      <c r="D13" s="59"/>
      <c r="E13" s="60"/>
      <c r="F13" s="28"/>
      <c r="G13" s="33"/>
      <c r="H13" s="138"/>
      <c r="J13" s="255" t="str">
        <f t="shared" si="0"/>
        <v/>
      </c>
      <c r="K13" s="256" t="str">
        <f t="shared" si="1"/>
        <v/>
      </c>
      <c r="L13" s="256" t="str">
        <f t="shared" si="2"/>
        <v/>
      </c>
    </row>
    <row r="14" spans="1:12" x14ac:dyDescent="0.3">
      <c r="B14" s="29" t="str">
        <f>IF(IF(ISERROR(VLOOKUP(D14,Codigo!$B$4:$C$67,2,FALSE)),"",VLOOKUP(D14,Codigo!$B$4:$C$67,2,FALSE))=D14,"",VLOOKUP(D14,(Codigo!$B$4:$C$67),2,FALSE))</f>
        <v/>
      </c>
      <c r="C14" s="29" t="str">
        <f>IF(IF(ISERROR(VLOOKUP(D14,Codigo!$B$4:$C$67,2,FALSE)),"",VLOOKUP(D14,Codigo!$B$4:$C$67,2,FALSE))=D14,"",VLOOKUP(D14,(Codigo!$B$2:$D$67),3,FALSE))</f>
        <v/>
      </c>
      <c r="D14" s="59"/>
      <c r="E14" s="60"/>
      <c r="F14" s="28"/>
      <c r="G14" s="33"/>
      <c r="H14" s="138"/>
      <c r="J14" s="255" t="str">
        <f t="shared" si="0"/>
        <v/>
      </c>
      <c r="K14" s="256" t="str">
        <f t="shared" si="1"/>
        <v/>
      </c>
      <c r="L14" s="256" t="str">
        <f t="shared" si="2"/>
        <v/>
      </c>
    </row>
    <row r="15" spans="1:12" x14ac:dyDescent="0.3">
      <c r="B15" s="29" t="str">
        <f>IF(IF(ISERROR(VLOOKUP(D15,Codigo!$B$4:$C$67,2,FALSE)),"",VLOOKUP(D15,Codigo!$B$4:$C$67,2,FALSE))=D15,"",VLOOKUP(D15,(Codigo!$B$4:$C$67),2,FALSE))</f>
        <v/>
      </c>
      <c r="C15" s="29" t="str">
        <f>IF(IF(ISERROR(VLOOKUP(D15,Codigo!$B$4:$C$67,2,FALSE)),"",VLOOKUP(D15,Codigo!$B$4:$C$67,2,FALSE))=D15,"",VLOOKUP(D15,(Codigo!$B$2:$D$67),3,FALSE))</f>
        <v/>
      </c>
      <c r="D15" s="59"/>
      <c r="E15" s="60"/>
      <c r="F15" s="28"/>
      <c r="G15" s="33"/>
      <c r="H15" s="138"/>
      <c r="J15" s="255" t="str">
        <f t="shared" si="0"/>
        <v/>
      </c>
      <c r="K15" s="256" t="str">
        <f t="shared" si="1"/>
        <v/>
      </c>
      <c r="L15" s="256" t="str">
        <f t="shared" si="2"/>
        <v/>
      </c>
    </row>
    <row r="16" spans="1:12" x14ac:dyDescent="0.3">
      <c r="B16" s="29" t="str">
        <f>IF(IF(ISERROR(VLOOKUP(D16,Codigo!$B$4:$C$67,2,FALSE)),"",VLOOKUP(D16,Codigo!$B$4:$C$67,2,FALSE))=D16,"",VLOOKUP(D16,(Codigo!$B$4:$C$67),2,FALSE))</f>
        <v/>
      </c>
      <c r="C16" s="29" t="str">
        <f>IF(IF(ISERROR(VLOOKUP(D16,Codigo!$B$4:$C$67,2,FALSE)),"",VLOOKUP(D16,Codigo!$B$4:$C$67,2,FALSE))=D16,"",VLOOKUP(D16,(Codigo!$B$2:$D$67),3,FALSE))</f>
        <v/>
      </c>
      <c r="D16" s="59"/>
      <c r="E16" s="60"/>
      <c r="F16" s="28"/>
      <c r="G16" s="33"/>
      <c r="H16" s="138"/>
      <c r="J16" s="255" t="str">
        <f t="shared" si="0"/>
        <v/>
      </c>
      <c r="K16" s="256" t="str">
        <f t="shared" si="1"/>
        <v/>
      </c>
      <c r="L16" s="256" t="str">
        <f t="shared" si="2"/>
        <v/>
      </c>
    </row>
    <row r="17" spans="2:12" x14ac:dyDescent="0.3">
      <c r="B17" s="29" t="str">
        <f>IF(IF(ISERROR(VLOOKUP(D17,Codigo!$B$4:$C$67,2,FALSE)),"",VLOOKUP(D17,Codigo!$B$4:$C$67,2,FALSE))=D17,"",VLOOKUP(D17,(Codigo!$B$4:$C$67),2,FALSE))</f>
        <v/>
      </c>
      <c r="C17" s="29" t="str">
        <f>IF(IF(ISERROR(VLOOKUP(D17,Codigo!$B$4:$C$67,2,FALSE)),"",VLOOKUP(D17,Codigo!$B$4:$C$67,2,FALSE))=D17,"",VLOOKUP(D17,(Codigo!$B$2:$D$67),3,FALSE))</f>
        <v/>
      </c>
      <c r="D17" s="59"/>
      <c r="E17" s="60"/>
      <c r="F17" s="28"/>
      <c r="G17" s="33"/>
      <c r="H17" s="138"/>
      <c r="J17" s="255" t="str">
        <f t="shared" si="0"/>
        <v/>
      </c>
      <c r="K17" s="256" t="str">
        <f t="shared" si="1"/>
        <v/>
      </c>
      <c r="L17" s="256" t="str">
        <f t="shared" si="2"/>
        <v/>
      </c>
    </row>
    <row r="18" spans="2:12" x14ac:dyDescent="0.3">
      <c r="B18" s="29" t="str">
        <f>IF(IF(ISERROR(VLOOKUP(D18,Codigo!$B$4:$C$67,2,FALSE)),"",VLOOKUP(D18,Codigo!$B$4:$C$67,2,FALSE))=D18,"",VLOOKUP(D18,(Codigo!$B$4:$C$67),2,FALSE))</f>
        <v/>
      </c>
      <c r="C18" s="29" t="str">
        <f>IF(IF(ISERROR(VLOOKUP(D18,Codigo!$B$4:$C$67,2,FALSE)),"",VLOOKUP(D18,Codigo!$B$4:$C$67,2,FALSE))=D18,"",VLOOKUP(D18,(Codigo!$B$2:$D$67),3,FALSE))</f>
        <v/>
      </c>
      <c r="D18" s="59"/>
      <c r="E18" s="60"/>
      <c r="F18" s="28"/>
      <c r="G18" s="33"/>
      <c r="H18" s="138"/>
      <c r="J18" s="255" t="str">
        <f t="shared" si="0"/>
        <v/>
      </c>
      <c r="K18" s="256" t="str">
        <f t="shared" si="1"/>
        <v/>
      </c>
      <c r="L18" s="256" t="str">
        <f t="shared" si="2"/>
        <v/>
      </c>
    </row>
    <row r="19" spans="2:12" x14ac:dyDescent="0.3">
      <c r="B19" s="29" t="str">
        <f>IF(IF(ISERROR(VLOOKUP(D19,Codigo!$B$4:$C$67,2,FALSE)),"",VLOOKUP(D19,Codigo!$B$4:$C$67,2,FALSE))=D19,"",VLOOKUP(D19,(Codigo!$B$4:$C$67),2,FALSE))</f>
        <v/>
      </c>
      <c r="C19" s="29" t="str">
        <f>IF(IF(ISERROR(VLOOKUP(D19,Codigo!$B$4:$C$67,2,FALSE)),"",VLOOKUP(D19,Codigo!$B$4:$C$67,2,FALSE))=D19,"",VLOOKUP(D19,(Codigo!$B$2:$D$67),3,FALSE))</f>
        <v/>
      </c>
      <c r="D19" s="59"/>
      <c r="E19" s="60"/>
      <c r="F19" s="28"/>
      <c r="G19" s="33"/>
      <c r="H19" s="138"/>
      <c r="J19" s="255" t="str">
        <f t="shared" si="0"/>
        <v/>
      </c>
      <c r="K19" s="256" t="str">
        <f t="shared" si="1"/>
        <v/>
      </c>
      <c r="L19" s="256" t="str">
        <f t="shared" si="2"/>
        <v/>
      </c>
    </row>
    <row r="20" spans="2:12" x14ac:dyDescent="0.3">
      <c r="B20" s="29" t="str">
        <f>IF(IF(ISERROR(VLOOKUP(D20,Codigo!$B$4:$C$67,2,FALSE)),"",VLOOKUP(D20,Codigo!$B$4:$C$67,2,FALSE))=D20,"",VLOOKUP(D20,(Codigo!$B$4:$C$67),2,FALSE))</f>
        <v/>
      </c>
      <c r="C20" s="29" t="str">
        <f>IF(IF(ISERROR(VLOOKUP(D20,Codigo!$B$4:$C$67,2,FALSE)),"",VLOOKUP(D20,Codigo!$B$4:$C$67,2,FALSE))=D20,"",VLOOKUP(D20,(Codigo!$B$2:$D$67),3,FALSE))</f>
        <v/>
      </c>
      <c r="D20" s="59"/>
      <c r="E20" s="60"/>
      <c r="F20" s="28"/>
      <c r="G20" s="33"/>
      <c r="H20" s="138"/>
      <c r="J20" s="255" t="str">
        <f t="shared" si="0"/>
        <v/>
      </c>
      <c r="K20" s="256" t="str">
        <f t="shared" si="1"/>
        <v/>
      </c>
      <c r="L20" s="256" t="str">
        <f t="shared" si="2"/>
        <v/>
      </c>
    </row>
    <row r="21" spans="2:12" x14ac:dyDescent="0.3">
      <c r="B21" s="29" t="str">
        <f>IF(IF(ISERROR(VLOOKUP(D21,Codigo!$B$4:$C$67,2,FALSE)),"",VLOOKUP(D21,Codigo!$B$4:$C$67,2,FALSE))=D21,"",VLOOKUP(D21,(Codigo!$B$4:$C$67),2,FALSE))</f>
        <v/>
      </c>
      <c r="C21" s="29" t="str">
        <f>IF(IF(ISERROR(VLOOKUP(D21,Codigo!$B$4:$C$67,2,FALSE)),"",VLOOKUP(D21,Codigo!$B$4:$C$67,2,FALSE))=D21,"",VLOOKUP(D21,(Codigo!$B$2:$D$67),3,FALSE))</f>
        <v/>
      </c>
      <c r="D21" s="59"/>
      <c r="E21" s="60"/>
      <c r="F21" s="28"/>
      <c r="G21" s="33"/>
      <c r="H21" s="138"/>
      <c r="J21" s="255" t="str">
        <f t="shared" si="0"/>
        <v/>
      </c>
      <c r="K21" s="256" t="str">
        <f t="shared" si="1"/>
        <v/>
      </c>
      <c r="L21" s="256" t="str">
        <f t="shared" si="2"/>
        <v/>
      </c>
    </row>
    <row r="22" spans="2:12" x14ac:dyDescent="0.3">
      <c r="B22" s="29" t="str">
        <f>IF(IF(ISERROR(VLOOKUP(D22,Codigo!$B$4:$C$67,2,FALSE)),"",VLOOKUP(D22,Codigo!$B$4:$C$67,2,FALSE))=D22,"",VLOOKUP(D22,(Codigo!$B$4:$C$67),2,FALSE))</f>
        <v/>
      </c>
      <c r="C22" s="29" t="str">
        <f>IF(IF(ISERROR(VLOOKUP(D22,Codigo!$B$4:$C$67,2,FALSE)),"",VLOOKUP(D22,Codigo!$B$4:$C$67,2,FALSE))=D22,"",VLOOKUP(D22,(Codigo!$B$2:$D$67),3,FALSE))</f>
        <v/>
      </c>
      <c r="D22" s="59"/>
      <c r="E22" s="60"/>
      <c r="F22" s="28"/>
      <c r="G22" s="33"/>
      <c r="H22" s="138"/>
      <c r="J22" s="255" t="str">
        <f t="shared" si="0"/>
        <v/>
      </c>
      <c r="K22" s="256" t="str">
        <f t="shared" si="1"/>
        <v/>
      </c>
      <c r="L22" s="256" t="str">
        <f t="shared" si="2"/>
        <v/>
      </c>
    </row>
    <row r="23" spans="2:12" x14ac:dyDescent="0.3">
      <c r="B23" s="29" t="str">
        <f>IF(IF(ISERROR(VLOOKUP(D23,Codigo!$B$4:$C$67,2,FALSE)),"",VLOOKUP(D23,Codigo!$B$4:$C$67,2,FALSE))=D23,"",VLOOKUP(D23,(Codigo!$B$4:$C$67),2,FALSE))</f>
        <v/>
      </c>
      <c r="C23" s="29" t="str">
        <f>IF(IF(ISERROR(VLOOKUP(D23,Codigo!$B$4:$C$67,2,FALSE)),"",VLOOKUP(D23,Codigo!$B$4:$C$67,2,FALSE))=D23,"",VLOOKUP(D23,(Codigo!$B$2:$D$67),3,FALSE))</f>
        <v/>
      </c>
      <c r="D23" s="59"/>
      <c r="E23" s="60"/>
      <c r="F23" s="28"/>
      <c r="G23" s="33"/>
      <c r="H23" s="138"/>
      <c r="J23" s="255" t="str">
        <f t="shared" si="0"/>
        <v/>
      </c>
      <c r="K23" s="256" t="str">
        <f t="shared" si="1"/>
        <v/>
      </c>
      <c r="L23" s="256" t="str">
        <f t="shared" si="2"/>
        <v/>
      </c>
    </row>
    <row r="24" spans="2:12" x14ac:dyDescent="0.3">
      <c r="B24" s="29" t="str">
        <f>IF(IF(ISERROR(VLOOKUP(D24,Codigo!$B$4:$C$67,2,FALSE)),"",VLOOKUP(D24,Codigo!$B$4:$C$67,2,FALSE))=D24,"",VLOOKUP(D24,(Codigo!$B$4:$C$67),2,FALSE))</f>
        <v/>
      </c>
      <c r="C24" s="29" t="str">
        <f>IF(IF(ISERROR(VLOOKUP(D24,Codigo!$B$4:$C$67,2,FALSE)),"",VLOOKUP(D24,Codigo!$B$4:$C$67,2,FALSE))=D24,"",VLOOKUP(D24,(Codigo!$B$2:$D$67),3,FALSE))</f>
        <v/>
      </c>
      <c r="D24" s="59"/>
      <c r="E24" s="60"/>
      <c r="F24" s="28"/>
      <c r="G24" s="33"/>
      <c r="H24" s="138"/>
      <c r="J24" s="255" t="str">
        <f t="shared" si="0"/>
        <v/>
      </c>
      <c r="K24" s="256" t="str">
        <f t="shared" si="1"/>
        <v/>
      </c>
      <c r="L24" s="256" t="str">
        <f t="shared" si="2"/>
        <v/>
      </c>
    </row>
    <row r="25" spans="2:12" x14ac:dyDescent="0.3">
      <c r="B25" s="29" t="str">
        <f>IF(IF(ISERROR(VLOOKUP(D25,Codigo!$B$4:$C$67,2,FALSE)),"",VLOOKUP(D25,Codigo!$B$4:$C$67,2,FALSE))=D25,"",VLOOKUP(D25,(Codigo!$B$4:$C$67),2,FALSE))</f>
        <v/>
      </c>
      <c r="C25" s="29" t="str">
        <f>IF(IF(ISERROR(VLOOKUP(D25,Codigo!$B$4:$C$67,2,FALSE)),"",VLOOKUP(D25,Codigo!$B$4:$C$67,2,FALSE))=D25,"",VLOOKUP(D25,(Codigo!$B$2:$D$67),3,FALSE))</f>
        <v/>
      </c>
      <c r="D25" s="59"/>
      <c r="E25" s="60"/>
      <c r="F25" s="28"/>
      <c r="G25" s="33"/>
      <c r="H25" s="138"/>
      <c r="J25" s="255" t="str">
        <f t="shared" si="0"/>
        <v/>
      </c>
      <c r="K25" s="256" t="str">
        <f t="shared" si="1"/>
        <v/>
      </c>
      <c r="L25" s="256" t="str">
        <f t="shared" si="2"/>
        <v/>
      </c>
    </row>
    <row r="26" spans="2:12" x14ac:dyDescent="0.3">
      <c r="B26" s="29" t="str">
        <f>IF(IF(ISERROR(VLOOKUP(D26,Codigo!$B$4:$C$67,2,FALSE)),"",VLOOKUP(D26,Codigo!$B$4:$C$67,2,FALSE))=D26,"",VLOOKUP(D26,(Codigo!$B$4:$C$67),2,FALSE))</f>
        <v/>
      </c>
      <c r="C26" s="29" t="str">
        <f>IF(IF(ISERROR(VLOOKUP(D26,Codigo!$B$4:$C$67,2,FALSE)),"",VLOOKUP(D26,Codigo!$B$4:$C$67,2,FALSE))=D26,"",VLOOKUP(D26,(Codigo!$B$2:$D$67),3,FALSE))</f>
        <v/>
      </c>
      <c r="D26" s="59"/>
      <c r="E26" s="60"/>
      <c r="F26" s="28"/>
      <c r="G26" s="33"/>
      <c r="H26" s="138"/>
      <c r="J26" s="255" t="str">
        <f t="shared" si="0"/>
        <v/>
      </c>
      <c r="K26" s="256" t="str">
        <f t="shared" si="1"/>
        <v/>
      </c>
      <c r="L26" s="256" t="str">
        <f t="shared" si="2"/>
        <v/>
      </c>
    </row>
    <row r="27" spans="2:12" x14ac:dyDescent="0.3">
      <c r="B27" s="29" t="str">
        <f>IF(IF(ISERROR(VLOOKUP(D27,Codigo!$B$4:$C$67,2,FALSE)),"",VLOOKUP(D27,Codigo!$B$4:$C$67,2,FALSE))=D27,"",VLOOKUP(D27,(Codigo!$B$4:$C$67),2,FALSE))</f>
        <v/>
      </c>
      <c r="C27" s="29" t="str">
        <f>IF(IF(ISERROR(VLOOKUP(D27,Codigo!$B$4:$C$67,2,FALSE)),"",VLOOKUP(D27,Codigo!$B$4:$C$67,2,FALSE))=D27,"",VLOOKUP(D27,(Codigo!$B$2:$D$67),3,FALSE))</f>
        <v/>
      </c>
      <c r="D27" s="59"/>
      <c r="E27" s="60"/>
      <c r="F27" s="28"/>
      <c r="G27" s="33"/>
      <c r="H27" s="138"/>
      <c r="J27" s="255" t="str">
        <f t="shared" si="0"/>
        <v/>
      </c>
      <c r="K27" s="256" t="str">
        <f t="shared" si="1"/>
        <v/>
      </c>
      <c r="L27" s="256" t="str">
        <f t="shared" si="2"/>
        <v/>
      </c>
    </row>
    <row r="28" spans="2:12" x14ac:dyDescent="0.3">
      <c r="B28" s="29" t="str">
        <f>IF(IF(ISERROR(VLOOKUP(D28,Codigo!$B$4:$C$67,2,FALSE)),"",VLOOKUP(D28,Codigo!$B$4:$C$67,2,FALSE))=D28,"",VLOOKUP(D28,(Codigo!$B$4:$C$67),2,FALSE))</f>
        <v/>
      </c>
      <c r="C28" s="29" t="str">
        <f>IF(IF(ISERROR(VLOOKUP(D28,Codigo!$B$4:$C$67,2,FALSE)),"",VLOOKUP(D28,Codigo!$B$4:$C$67,2,FALSE))=D28,"",VLOOKUP(D28,(Codigo!$B$2:$D$67),3,FALSE))</f>
        <v/>
      </c>
      <c r="D28" s="59"/>
      <c r="E28" s="60"/>
      <c r="F28" s="28"/>
      <c r="G28" s="33"/>
      <c r="H28" s="138"/>
      <c r="J28" s="255" t="str">
        <f t="shared" si="0"/>
        <v/>
      </c>
      <c r="K28" s="256" t="str">
        <f t="shared" si="1"/>
        <v/>
      </c>
      <c r="L28" s="256" t="str">
        <f t="shared" si="2"/>
        <v/>
      </c>
    </row>
    <row r="29" spans="2:12" x14ac:dyDescent="0.3">
      <c r="B29" s="29" t="str">
        <f>IF(IF(ISERROR(VLOOKUP(D29,Codigo!$B$4:$C$67,2,FALSE)),"",VLOOKUP(D29,Codigo!$B$4:$C$67,2,FALSE))=D29,"",VLOOKUP(D29,(Codigo!$B$4:$C$67),2,FALSE))</f>
        <v/>
      </c>
      <c r="C29" s="29" t="str">
        <f>IF(IF(ISERROR(VLOOKUP(D29,Codigo!$B$4:$C$67,2,FALSE)),"",VLOOKUP(D29,Codigo!$B$4:$C$67,2,FALSE))=D29,"",VLOOKUP(D29,(Codigo!$B$2:$D$67),3,FALSE))</f>
        <v/>
      </c>
      <c r="D29" s="59"/>
      <c r="E29" s="60"/>
      <c r="F29" s="28"/>
      <c r="G29" s="33"/>
      <c r="H29" s="138"/>
      <c r="J29" s="255" t="str">
        <f t="shared" si="0"/>
        <v/>
      </c>
      <c r="K29" s="256" t="str">
        <f t="shared" si="1"/>
        <v/>
      </c>
      <c r="L29" s="256" t="str">
        <f t="shared" si="2"/>
        <v/>
      </c>
    </row>
    <row r="30" spans="2:12" x14ac:dyDescent="0.3">
      <c r="B30" s="29" t="str">
        <f>IF(IF(ISERROR(VLOOKUP(D30,Codigo!$B$4:$C$67,2,FALSE)),"",VLOOKUP(D30,Codigo!$B$4:$C$67,2,FALSE))=D30,"",VLOOKUP(D30,(Codigo!$B$4:$C$67),2,FALSE))</f>
        <v/>
      </c>
      <c r="C30" s="29" t="str">
        <f>IF(IF(ISERROR(VLOOKUP(D30,Codigo!$B$4:$C$67,2,FALSE)),"",VLOOKUP(D30,Codigo!$B$4:$C$67,2,FALSE))=D30,"",VLOOKUP(D30,(Codigo!$B$2:$D$67),3,FALSE))</f>
        <v/>
      </c>
      <c r="D30" s="59"/>
      <c r="E30" s="60"/>
      <c r="F30" s="28"/>
      <c r="G30" s="33"/>
      <c r="H30" s="138"/>
      <c r="J30" s="255" t="str">
        <f t="shared" si="0"/>
        <v/>
      </c>
      <c r="K30" s="256" t="str">
        <f t="shared" si="1"/>
        <v/>
      </c>
      <c r="L30" s="256" t="str">
        <f t="shared" si="2"/>
        <v/>
      </c>
    </row>
    <row r="31" spans="2:12" x14ac:dyDescent="0.3">
      <c r="B31" s="29" t="str">
        <f>IF(IF(ISERROR(VLOOKUP(D31,Codigo!$B$4:$C$67,2,FALSE)),"",VLOOKUP(D31,Codigo!$B$4:$C$67,2,FALSE))=D31,"",VLOOKUP(D31,(Codigo!$B$4:$C$67),2,FALSE))</f>
        <v/>
      </c>
      <c r="C31" s="29" t="str">
        <f>IF(IF(ISERROR(VLOOKUP(D31,Codigo!$B$4:$C$67,2,FALSE)),"",VLOOKUP(D31,Codigo!$B$4:$C$67,2,FALSE))=D31,"",VLOOKUP(D31,(Codigo!$B$2:$D$67),3,FALSE))</f>
        <v/>
      </c>
      <c r="D31" s="59"/>
      <c r="E31" s="60"/>
      <c r="F31" s="28"/>
      <c r="G31" s="33"/>
      <c r="H31" s="138"/>
      <c r="J31" s="255" t="str">
        <f t="shared" si="0"/>
        <v/>
      </c>
      <c r="K31" s="256" t="str">
        <f t="shared" si="1"/>
        <v/>
      </c>
      <c r="L31" s="256" t="str">
        <f t="shared" si="2"/>
        <v/>
      </c>
    </row>
    <row r="32" spans="2:12" x14ac:dyDescent="0.3">
      <c r="B32" s="29" t="str">
        <f>IF(IF(ISERROR(VLOOKUP(D32,Codigo!$B$4:$C$67,2,FALSE)),"",VLOOKUP(D32,Codigo!$B$4:$C$67,2,FALSE))=D32,"",VLOOKUP(D32,(Codigo!$B$4:$C$67),2,FALSE))</f>
        <v/>
      </c>
      <c r="C32" s="29" t="str">
        <f>IF(IF(ISERROR(VLOOKUP(D32,Codigo!$B$4:$C$67,2,FALSE)),"",VLOOKUP(D32,Codigo!$B$4:$C$67,2,FALSE))=D32,"",VLOOKUP(D32,(Codigo!$B$2:$D$67),3,FALSE))</f>
        <v/>
      </c>
      <c r="D32" s="59"/>
      <c r="E32" s="60"/>
      <c r="F32" s="28"/>
      <c r="G32" s="33"/>
      <c r="H32" s="138"/>
      <c r="J32" s="255" t="str">
        <f t="shared" si="0"/>
        <v/>
      </c>
      <c r="K32" s="256" t="str">
        <f t="shared" si="1"/>
        <v/>
      </c>
      <c r="L32" s="256" t="str">
        <f t="shared" si="2"/>
        <v/>
      </c>
    </row>
    <row r="33" spans="2:12" x14ac:dyDescent="0.3">
      <c r="B33" s="29" t="str">
        <f>IF(IF(ISERROR(VLOOKUP(D33,Codigo!$B$4:$C$67,2,FALSE)),"",VLOOKUP(D33,Codigo!$B$4:$C$67,2,FALSE))=D33,"",VLOOKUP(D33,(Codigo!$B$4:$C$67),2,FALSE))</f>
        <v/>
      </c>
      <c r="C33" s="29" t="str">
        <f>IF(IF(ISERROR(VLOOKUP(D33,Codigo!$B$4:$C$67,2,FALSE)),"",VLOOKUP(D33,Codigo!$B$4:$C$67,2,FALSE))=D33,"",VLOOKUP(D33,(Codigo!$B$2:$D$67),3,FALSE))</f>
        <v/>
      </c>
      <c r="D33" s="59"/>
      <c r="E33" s="60"/>
      <c r="F33" s="28"/>
      <c r="G33" s="33"/>
      <c r="H33" s="138"/>
      <c r="J33" s="255" t="str">
        <f t="shared" si="0"/>
        <v/>
      </c>
      <c r="K33" s="256" t="str">
        <f t="shared" si="1"/>
        <v/>
      </c>
      <c r="L33" s="256" t="str">
        <f t="shared" si="2"/>
        <v/>
      </c>
    </row>
    <row r="34" spans="2:12" x14ac:dyDescent="0.3">
      <c r="B34" s="29" t="str">
        <f>IF(IF(ISERROR(VLOOKUP(D34,Codigo!$B$4:$C$67,2,FALSE)),"",VLOOKUP(D34,Codigo!$B$4:$C$67,2,FALSE))=D34,"",VLOOKUP(D34,(Codigo!$B$4:$C$67),2,FALSE))</f>
        <v/>
      </c>
      <c r="C34" s="29" t="str">
        <f>IF(IF(ISERROR(VLOOKUP(D34,Codigo!$B$4:$C$67,2,FALSE)),"",VLOOKUP(D34,Codigo!$B$4:$C$67,2,FALSE))=D34,"",VLOOKUP(D34,(Codigo!$B$2:$D$67),3,FALSE))</f>
        <v/>
      </c>
      <c r="D34" s="59"/>
      <c r="E34" s="60"/>
      <c r="F34" s="28"/>
      <c r="G34" s="33"/>
      <c r="H34" s="138"/>
      <c r="J34" s="255" t="str">
        <f t="shared" si="0"/>
        <v/>
      </c>
      <c r="K34" s="256" t="str">
        <f t="shared" si="1"/>
        <v/>
      </c>
      <c r="L34" s="256" t="str">
        <f t="shared" si="2"/>
        <v/>
      </c>
    </row>
    <row r="35" spans="2:12" x14ac:dyDescent="0.3">
      <c r="B35" s="29" t="str">
        <f>IF(IF(ISERROR(VLOOKUP(D35,Codigo!$B$4:$C$67,2,FALSE)),"",VLOOKUP(D35,Codigo!$B$4:$C$67,2,FALSE))=D35,"",VLOOKUP(D35,(Codigo!$B$4:$C$67),2,FALSE))</f>
        <v/>
      </c>
      <c r="C35" s="29" t="str">
        <f>IF(IF(ISERROR(VLOOKUP(D35,Codigo!$B$4:$C$67,2,FALSE)),"",VLOOKUP(D35,Codigo!$B$4:$C$67,2,FALSE))=D35,"",VLOOKUP(D35,(Codigo!$B$2:$D$67),3,FALSE))</f>
        <v/>
      </c>
      <c r="D35" s="59"/>
      <c r="E35" s="60"/>
      <c r="F35" s="28"/>
      <c r="G35" s="33"/>
      <c r="H35" s="138"/>
      <c r="J35" s="255" t="str">
        <f t="shared" si="0"/>
        <v/>
      </c>
      <c r="K35" s="256" t="str">
        <f t="shared" si="1"/>
        <v/>
      </c>
      <c r="L35" s="256" t="str">
        <f t="shared" si="2"/>
        <v/>
      </c>
    </row>
    <row r="36" spans="2:12" x14ac:dyDescent="0.3">
      <c r="B36" s="29" t="str">
        <f>IF(IF(ISERROR(VLOOKUP(D36,Codigo!$B$4:$C$67,2,FALSE)),"",VLOOKUP(D36,Codigo!$B$4:$C$67,2,FALSE))=D36,"",VLOOKUP(D36,(Codigo!$B$4:$C$67),2,FALSE))</f>
        <v/>
      </c>
      <c r="C36" s="29" t="str">
        <f>IF(IF(ISERROR(VLOOKUP(D36,Codigo!$B$4:$C$67,2,FALSE)),"",VLOOKUP(D36,Codigo!$B$4:$C$67,2,FALSE))=D36,"",VLOOKUP(D36,(Codigo!$B$2:$D$67),3,FALSE))</f>
        <v/>
      </c>
      <c r="D36" s="59"/>
      <c r="E36" s="60"/>
      <c r="F36" s="28"/>
      <c r="G36" s="33"/>
      <c r="H36" s="138"/>
      <c r="J36" s="255" t="str">
        <f t="shared" si="0"/>
        <v/>
      </c>
      <c r="K36" s="256" t="str">
        <f t="shared" si="1"/>
        <v/>
      </c>
      <c r="L36" s="256" t="str">
        <f t="shared" si="2"/>
        <v/>
      </c>
    </row>
    <row r="37" spans="2:12" x14ac:dyDescent="0.3">
      <c r="B37" s="29" t="str">
        <f>IF(IF(ISERROR(VLOOKUP(D37,Codigo!$B$4:$C$67,2,FALSE)),"",VLOOKUP(D37,Codigo!$B$4:$C$67,2,FALSE))=D37,"",VLOOKUP(D37,(Codigo!$B$4:$C$67),2,FALSE))</f>
        <v/>
      </c>
      <c r="C37" s="29" t="str">
        <f>IF(IF(ISERROR(VLOOKUP(D37,Codigo!$B$4:$C$67,2,FALSE)),"",VLOOKUP(D37,Codigo!$B$4:$C$67,2,FALSE))=D37,"",VLOOKUP(D37,(Codigo!$B$2:$D$67),3,FALSE))</f>
        <v/>
      </c>
      <c r="D37" s="59"/>
      <c r="E37" s="60"/>
      <c r="F37" s="28"/>
      <c r="G37" s="33"/>
      <c r="H37" s="138"/>
      <c r="J37" s="255" t="str">
        <f t="shared" si="0"/>
        <v/>
      </c>
      <c r="K37" s="256" t="str">
        <f t="shared" si="1"/>
        <v/>
      </c>
      <c r="L37" s="256" t="str">
        <f t="shared" si="2"/>
        <v/>
      </c>
    </row>
    <row r="38" spans="2:12" x14ac:dyDescent="0.3">
      <c r="B38" s="29" t="str">
        <f>IF(IF(ISERROR(VLOOKUP(D38,Codigo!$B$4:$C$67,2,FALSE)),"",VLOOKUP(D38,Codigo!$B$4:$C$67,2,FALSE))=D38,"",VLOOKUP(D38,(Codigo!$B$4:$C$67),2,FALSE))</f>
        <v/>
      </c>
      <c r="C38" s="29" t="str">
        <f>IF(IF(ISERROR(VLOOKUP(D38,Codigo!$B$4:$C$67,2,FALSE)),"",VLOOKUP(D38,Codigo!$B$4:$C$67,2,FALSE))=D38,"",VLOOKUP(D38,(Codigo!$B$2:$D$67),3,FALSE))</f>
        <v/>
      </c>
      <c r="D38" s="59"/>
      <c r="E38" s="60"/>
      <c r="F38" s="28"/>
      <c r="G38" s="33"/>
      <c r="H38" s="138"/>
      <c r="J38" s="255" t="str">
        <f t="shared" si="0"/>
        <v/>
      </c>
      <c r="K38" s="256" t="str">
        <f t="shared" si="1"/>
        <v/>
      </c>
      <c r="L38" s="256" t="str">
        <f t="shared" si="2"/>
        <v/>
      </c>
    </row>
    <row r="39" spans="2:12" x14ac:dyDescent="0.3">
      <c r="B39" s="29" t="str">
        <f>IF(IF(ISERROR(VLOOKUP(D39,Codigo!$B$4:$C$67,2,FALSE)),"",VLOOKUP(D39,Codigo!$B$4:$C$67,2,FALSE))=D39,"",VLOOKUP(D39,(Codigo!$B$4:$C$67),2,FALSE))</f>
        <v/>
      </c>
      <c r="C39" s="29" t="str">
        <f>IF(IF(ISERROR(VLOOKUP(D39,Codigo!$B$4:$C$67,2,FALSE)),"",VLOOKUP(D39,Codigo!$B$4:$C$67,2,FALSE))=D39,"",VLOOKUP(D39,(Codigo!$B$2:$D$67),3,FALSE))</f>
        <v/>
      </c>
      <c r="D39" s="59"/>
      <c r="E39" s="60"/>
      <c r="F39" s="28"/>
      <c r="G39" s="33"/>
      <c r="H39" s="138"/>
      <c r="J39" s="255" t="str">
        <f t="shared" si="0"/>
        <v/>
      </c>
      <c r="K39" s="256" t="str">
        <f t="shared" si="1"/>
        <v/>
      </c>
      <c r="L39" s="256" t="str">
        <f t="shared" si="2"/>
        <v/>
      </c>
    </row>
    <row r="40" spans="2:12" x14ac:dyDescent="0.3">
      <c r="B40" s="29" t="str">
        <f>IF(IF(ISERROR(VLOOKUP(D40,Codigo!$B$4:$C$67,2,FALSE)),"",VLOOKUP(D40,Codigo!$B$4:$C$67,2,FALSE))=D40,"",VLOOKUP(D40,(Codigo!$B$4:$C$67),2,FALSE))</f>
        <v/>
      </c>
      <c r="C40" s="29" t="str">
        <f>IF(IF(ISERROR(VLOOKUP(D40,Codigo!$B$4:$C$67,2,FALSE)),"",VLOOKUP(D40,Codigo!$B$4:$C$67,2,FALSE))=D40,"",VLOOKUP(D40,(Codigo!$B$2:$D$67),3,FALSE))</f>
        <v/>
      </c>
      <c r="D40" s="59"/>
      <c r="E40" s="60"/>
      <c r="F40" s="28"/>
      <c r="G40" s="33"/>
      <c r="H40" s="138"/>
      <c r="J40" s="255" t="str">
        <f t="shared" si="0"/>
        <v/>
      </c>
      <c r="K40" s="256" t="str">
        <f t="shared" si="1"/>
        <v/>
      </c>
      <c r="L40" s="256" t="str">
        <f t="shared" si="2"/>
        <v/>
      </c>
    </row>
    <row r="41" spans="2:12" x14ac:dyDescent="0.3">
      <c r="B41" s="29" t="str">
        <f>IF(IF(ISERROR(VLOOKUP(D41,Codigo!$B$4:$C$67,2,FALSE)),"",VLOOKUP(D41,Codigo!$B$4:$C$67,2,FALSE))=D41,"",VLOOKUP(D41,(Codigo!$B$4:$C$67),2,FALSE))</f>
        <v/>
      </c>
      <c r="C41" s="29" t="str">
        <f>IF(IF(ISERROR(VLOOKUP(D41,Codigo!$B$4:$C$67,2,FALSE)),"",VLOOKUP(D41,Codigo!$B$4:$C$67,2,FALSE))=D41,"",VLOOKUP(D41,(Codigo!$B$2:$D$67),3,FALSE))</f>
        <v/>
      </c>
      <c r="D41" s="59"/>
      <c r="E41" s="60"/>
      <c r="F41" s="28"/>
      <c r="G41" s="33"/>
      <c r="H41" s="138"/>
      <c r="J41" s="255" t="str">
        <f t="shared" si="0"/>
        <v/>
      </c>
      <c r="K41" s="256" t="str">
        <f t="shared" si="1"/>
        <v/>
      </c>
      <c r="L41" s="256" t="str">
        <f t="shared" si="2"/>
        <v/>
      </c>
    </row>
    <row r="42" spans="2:12" x14ac:dyDescent="0.3">
      <c r="B42" s="29" t="str">
        <f>IF(IF(ISERROR(VLOOKUP(D42,Codigo!$B$4:$C$67,2,FALSE)),"",VLOOKUP(D42,Codigo!$B$4:$C$67,2,FALSE))=D42,"",VLOOKUP(D42,(Codigo!$B$4:$C$67),2,FALSE))</f>
        <v/>
      </c>
      <c r="C42" s="29" t="str">
        <f>IF(IF(ISERROR(VLOOKUP(D42,Codigo!$B$4:$C$67,2,FALSE)),"",VLOOKUP(D42,Codigo!$B$4:$C$67,2,FALSE))=D42,"",VLOOKUP(D42,(Codigo!$B$2:$D$67),3,FALSE))</f>
        <v/>
      </c>
      <c r="D42" s="59"/>
      <c r="E42" s="60"/>
      <c r="F42" s="28"/>
      <c r="G42" s="33"/>
      <c r="H42" s="138"/>
      <c r="J42" s="255" t="str">
        <f t="shared" si="0"/>
        <v/>
      </c>
      <c r="K42" s="256" t="str">
        <f t="shared" si="1"/>
        <v/>
      </c>
      <c r="L42" s="256" t="str">
        <f t="shared" si="2"/>
        <v/>
      </c>
    </row>
    <row r="43" spans="2:12" x14ac:dyDescent="0.3">
      <c r="B43" s="29" t="str">
        <f>IF(IF(ISERROR(VLOOKUP(D43,Codigo!$B$4:$C$67,2,FALSE)),"",VLOOKUP(D43,Codigo!$B$4:$C$67,2,FALSE))=D43,"",VLOOKUP(D43,(Codigo!$B$4:$C$67),2,FALSE))</f>
        <v/>
      </c>
      <c r="C43" s="29" t="str">
        <f>IF(IF(ISERROR(VLOOKUP(D43,Codigo!$B$4:$C$67,2,FALSE)),"",VLOOKUP(D43,Codigo!$B$4:$C$67,2,FALSE))=D43,"",VLOOKUP(D43,(Codigo!$B$2:$D$67),3,FALSE))</f>
        <v/>
      </c>
      <c r="D43" s="59"/>
      <c r="E43" s="60"/>
      <c r="F43" s="28"/>
      <c r="G43" s="33"/>
      <c r="H43" s="138"/>
      <c r="J43" s="255" t="str">
        <f t="shared" si="0"/>
        <v/>
      </c>
      <c r="K43" s="256" t="str">
        <f t="shared" si="1"/>
        <v/>
      </c>
      <c r="L43" s="256" t="str">
        <f t="shared" si="2"/>
        <v/>
      </c>
    </row>
    <row r="44" spans="2:12" x14ac:dyDescent="0.3">
      <c r="B44" s="29" t="str">
        <f>IF(IF(ISERROR(VLOOKUP(D44,Codigo!$B$4:$C$67,2,FALSE)),"",VLOOKUP(D44,Codigo!$B$4:$C$67,2,FALSE))=D44,"",VLOOKUP(D44,(Codigo!$B$4:$C$67),2,FALSE))</f>
        <v/>
      </c>
      <c r="C44" s="29" t="str">
        <f>IF(IF(ISERROR(VLOOKUP(D44,Codigo!$B$4:$C$67,2,FALSE)),"",VLOOKUP(D44,Codigo!$B$4:$C$67,2,FALSE))=D44,"",VLOOKUP(D44,(Codigo!$B$2:$D$67),3,FALSE))</f>
        <v/>
      </c>
      <c r="D44" s="59"/>
      <c r="E44" s="60"/>
      <c r="F44" s="28"/>
      <c r="G44" s="33"/>
      <c r="H44" s="138"/>
      <c r="J44" s="255" t="str">
        <f t="shared" si="0"/>
        <v/>
      </c>
      <c r="K44" s="256" t="str">
        <f t="shared" si="1"/>
        <v/>
      </c>
      <c r="L44" s="256" t="str">
        <f t="shared" si="2"/>
        <v/>
      </c>
    </row>
    <row r="45" spans="2:12" x14ac:dyDescent="0.3">
      <c r="B45" s="29" t="str">
        <f>IF(IF(ISERROR(VLOOKUP(D45,Codigo!$B$4:$C$67,2,FALSE)),"",VLOOKUP(D45,Codigo!$B$4:$C$67,2,FALSE))=D45,"",VLOOKUP(D45,(Codigo!$B$4:$C$67),2,FALSE))</f>
        <v/>
      </c>
      <c r="C45" s="29" t="str">
        <f>IF(IF(ISERROR(VLOOKUP(D45,Codigo!$B$4:$C$67,2,FALSE)),"",VLOOKUP(D45,Codigo!$B$4:$C$67,2,FALSE))=D45,"",VLOOKUP(D45,(Codigo!$B$2:$D$67),3,FALSE))</f>
        <v/>
      </c>
      <c r="D45" s="59"/>
      <c r="E45" s="60"/>
      <c r="F45" s="28"/>
      <c r="G45" s="33"/>
      <c r="H45" s="138"/>
      <c r="J45" s="255" t="str">
        <f t="shared" si="0"/>
        <v/>
      </c>
      <c r="K45" s="256" t="str">
        <f t="shared" si="1"/>
        <v/>
      </c>
      <c r="L45" s="256" t="str">
        <f t="shared" si="2"/>
        <v/>
      </c>
    </row>
    <row r="46" spans="2:12" x14ac:dyDescent="0.3">
      <c r="B46" s="29" t="str">
        <f>IF(IF(ISERROR(VLOOKUP(D46,Codigo!$B$4:$C$67,2,FALSE)),"",VLOOKUP(D46,Codigo!$B$4:$C$67,2,FALSE))=D46,"",VLOOKUP(D46,(Codigo!$B$4:$C$67),2,FALSE))</f>
        <v/>
      </c>
      <c r="C46" s="29" t="str">
        <f>IF(IF(ISERROR(VLOOKUP(D46,Codigo!$B$4:$C$67,2,FALSE)),"",VLOOKUP(D46,Codigo!$B$4:$C$67,2,FALSE))=D46,"",VLOOKUP(D46,(Codigo!$B$2:$D$67),3,FALSE))</f>
        <v/>
      </c>
      <c r="D46" s="59"/>
      <c r="E46" s="60"/>
      <c r="F46" s="28"/>
      <c r="G46" s="33"/>
      <c r="H46" s="138"/>
      <c r="J46" s="255" t="str">
        <f t="shared" si="0"/>
        <v/>
      </c>
      <c r="K46" s="256" t="str">
        <f t="shared" si="1"/>
        <v/>
      </c>
      <c r="L46" s="256" t="str">
        <f t="shared" si="2"/>
        <v/>
      </c>
    </row>
    <row r="47" spans="2:12" x14ac:dyDescent="0.3">
      <c r="B47" s="29" t="str">
        <f>IF(IF(ISERROR(VLOOKUP(D47,Codigo!$B$4:$C$67,2,FALSE)),"",VLOOKUP(D47,Codigo!$B$4:$C$67,2,FALSE))=D47,"",VLOOKUP(D47,(Codigo!$B$4:$C$67),2,FALSE))</f>
        <v/>
      </c>
      <c r="C47" s="29" t="str">
        <f>IF(IF(ISERROR(VLOOKUP(D47,Codigo!$B$4:$C$67,2,FALSE)),"",VLOOKUP(D47,Codigo!$B$4:$C$67,2,FALSE))=D47,"",VLOOKUP(D47,(Codigo!$B$2:$D$67),3,FALSE))</f>
        <v/>
      </c>
      <c r="D47" s="59"/>
      <c r="E47" s="60"/>
      <c r="F47" s="28"/>
      <c r="G47" s="33"/>
      <c r="H47" s="138"/>
      <c r="J47" s="255" t="str">
        <f t="shared" si="0"/>
        <v/>
      </c>
      <c r="K47" s="256" t="str">
        <f t="shared" si="1"/>
        <v/>
      </c>
      <c r="L47" s="256" t="str">
        <f t="shared" si="2"/>
        <v/>
      </c>
    </row>
    <row r="48" spans="2:12" x14ac:dyDescent="0.3">
      <c r="B48" s="29" t="str">
        <f>IF(IF(ISERROR(VLOOKUP(D48,Codigo!$B$4:$C$67,2,FALSE)),"",VLOOKUP(D48,Codigo!$B$4:$C$67,2,FALSE))=D48,"",VLOOKUP(D48,(Codigo!$B$4:$C$67),2,FALSE))</f>
        <v/>
      </c>
      <c r="C48" s="29" t="str">
        <f>IF(IF(ISERROR(VLOOKUP(D48,Codigo!$B$4:$C$67,2,FALSE)),"",VLOOKUP(D48,Codigo!$B$4:$C$67,2,FALSE))=D48,"",VLOOKUP(D48,(Codigo!$B$2:$D$67),3,FALSE))</f>
        <v/>
      </c>
      <c r="D48" s="59"/>
      <c r="E48" s="60"/>
      <c r="F48" s="28"/>
      <c r="G48" s="33"/>
      <c r="H48" s="138"/>
      <c r="J48" s="255" t="str">
        <f t="shared" si="0"/>
        <v/>
      </c>
      <c r="K48" s="256" t="str">
        <f t="shared" si="1"/>
        <v/>
      </c>
      <c r="L48" s="256" t="str">
        <f t="shared" si="2"/>
        <v/>
      </c>
    </row>
    <row r="49" spans="2:12" x14ac:dyDescent="0.3">
      <c r="B49" s="29" t="str">
        <f>IF(IF(ISERROR(VLOOKUP(D49,Codigo!$B$4:$C$67,2,FALSE)),"",VLOOKUP(D49,Codigo!$B$4:$C$67,2,FALSE))=D49,"",VLOOKUP(D49,(Codigo!$B$4:$C$67),2,FALSE))</f>
        <v/>
      </c>
      <c r="C49" s="29" t="str">
        <f>IF(IF(ISERROR(VLOOKUP(D49,Codigo!$B$4:$C$67,2,FALSE)),"",VLOOKUP(D49,Codigo!$B$4:$C$67,2,FALSE))=D49,"",VLOOKUP(D49,(Codigo!$B$2:$D$67),3,FALSE))</f>
        <v/>
      </c>
      <c r="D49" s="59"/>
      <c r="E49" s="60"/>
      <c r="F49" s="28"/>
      <c r="G49" s="33"/>
      <c r="H49" s="138"/>
      <c r="J49" s="255" t="str">
        <f t="shared" si="0"/>
        <v/>
      </c>
      <c r="K49" s="256" t="str">
        <f t="shared" si="1"/>
        <v/>
      </c>
      <c r="L49" s="256" t="str">
        <f t="shared" si="2"/>
        <v/>
      </c>
    </row>
    <row r="50" spans="2:12" x14ac:dyDescent="0.3">
      <c r="B50" s="29" t="str">
        <f>IF(IF(ISERROR(VLOOKUP(D50,Codigo!$B$4:$C$67,2,FALSE)),"",VLOOKUP(D50,Codigo!$B$4:$C$67,2,FALSE))=D50,"",VLOOKUP(D50,(Codigo!$B$4:$C$67),2,FALSE))</f>
        <v/>
      </c>
      <c r="C50" s="29" t="str">
        <f>IF(IF(ISERROR(VLOOKUP(D50,Codigo!$B$4:$C$67,2,FALSE)),"",VLOOKUP(D50,Codigo!$B$4:$C$67,2,FALSE))=D50,"",VLOOKUP(D50,(Codigo!$B$2:$D$67),3,FALSE))</f>
        <v/>
      </c>
      <c r="D50" s="59"/>
      <c r="E50" s="60"/>
      <c r="F50" s="28"/>
      <c r="G50" s="33"/>
      <c r="H50" s="138"/>
      <c r="J50" s="255" t="str">
        <f t="shared" si="0"/>
        <v/>
      </c>
      <c r="K50" s="256" t="str">
        <f t="shared" si="1"/>
        <v/>
      </c>
      <c r="L50" s="256" t="str">
        <f t="shared" si="2"/>
        <v/>
      </c>
    </row>
    <row r="51" spans="2:12" x14ac:dyDescent="0.3">
      <c r="B51" s="29" t="str">
        <f>IF(IF(ISERROR(VLOOKUP(D51,Codigo!$B$4:$C$67,2,FALSE)),"",VLOOKUP(D51,Codigo!$B$4:$C$67,2,FALSE))=D51,"",VLOOKUP(D51,(Codigo!$B$4:$C$67),2,FALSE))</f>
        <v/>
      </c>
      <c r="C51" s="29" t="str">
        <f>IF(IF(ISERROR(VLOOKUP(D51,Codigo!$B$4:$C$67,2,FALSE)),"",VLOOKUP(D51,Codigo!$B$4:$C$67,2,FALSE))=D51,"",VLOOKUP(D51,(Codigo!$B$2:$D$67),3,FALSE))</f>
        <v/>
      </c>
      <c r="D51" s="59"/>
      <c r="E51" s="60"/>
      <c r="F51" s="28"/>
      <c r="G51" s="33"/>
      <c r="H51" s="138"/>
      <c r="J51" s="255" t="str">
        <f t="shared" si="0"/>
        <v/>
      </c>
      <c r="K51" s="256" t="str">
        <f t="shared" si="1"/>
        <v/>
      </c>
      <c r="L51" s="256" t="str">
        <f t="shared" si="2"/>
        <v/>
      </c>
    </row>
    <row r="52" spans="2:12" x14ac:dyDescent="0.3">
      <c r="B52" s="29" t="str">
        <f>IF(IF(ISERROR(VLOOKUP(D52,Codigo!$B$4:$C$67,2,FALSE)),"",VLOOKUP(D52,Codigo!$B$4:$C$67,2,FALSE))=D52,"",VLOOKUP(D52,(Codigo!$B$4:$C$67),2,FALSE))</f>
        <v/>
      </c>
      <c r="C52" s="29" t="str">
        <f>IF(IF(ISERROR(VLOOKUP(D52,Codigo!$B$4:$C$67,2,FALSE)),"",VLOOKUP(D52,Codigo!$B$4:$C$67,2,FALSE))=D52,"",VLOOKUP(D52,(Codigo!$B$2:$D$67),3,FALSE))</f>
        <v/>
      </c>
      <c r="D52" s="59"/>
      <c r="E52" s="60"/>
      <c r="F52" s="28"/>
      <c r="G52" s="33"/>
      <c r="H52" s="138"/>
      <c r="J52" s="255" t="str">
        <f t="shared" si="0"/>
        <v/>
      </c>
      <c r="K52" s="256" t="str">
        <f t="shared" si="1"/>
        <v/>
      </c>
      <c r="L52" s="256" t="str">
        <f t="shared" si="2"/>
        <v/>
      </c>
    </row>
    <row r="53" spans="2:12" x14ac:dyDescent="0.3">
      <c r="B53" s="29" t="str">
        <f>IF(IF(ISERROR(VLOOKUP(D53,Codigo!$B$4:$C$67,2,FALSE)),"",VLOOKUP(D53,Codigo!$B$4:$C$67,2,FALSE))=D53,"",VLOOKUP(D53,(Codigo!$B$4:$C$67),2,FALSE))</f>
        <v/>
      </c>
      <c r="C53" s="29" t="str">
        <f>IF(IF(ISERROR(VLOOKUP(D53,Codigo!$B$4:$C$67,2,FALSE)),"",VLOOKUP(D53,Codigo!$B$4:$C$67,2,FALSE))=D53,"",VLOOKUP(D53,(Codigo!$B$2:$D$67),3,FALSE))</f>
        <v/>
      </c>
      <c r="D53" s="59"/>
      <c r="E53" s="60"/>
      <c r="F53" s="28"/>
      <c r="G53" s="33"/>
      <c r="H53" s="138"/>
      <c r="J53" s="255" t="str">
        <f t="shared" si="0"/>
        <v/>
      </c>
      <c r="K53" s="256" t="str">
        <f t="shared" si="1"/>
        <v/>
      </c>
      <c r="L53" s="256" t="str">
        <f t="shared" si="2"/>
        <v/>
      </c>
    </row>
    <row r="54" spans="2:12" x14ac:dyDescent="0.3">
      <c r="B54" s="29" t="str">
        <f>IF(IF(ISERROR(VLOOKUP(D54,Codigo!$B$4:$C$67,2,FALSE)),"",VLOOKUP(D54,Codigo!$B$4:$C$67,2,FALSE))=D54,"",VLOOKUP(D54,(Codigo!$B$4:$C$67),2,FALSE))</f>
        <v/>
      </c>
      <c r="C54" s="29" t="str">
        <f>IF(IF(ISERROR(VLOOKUP(D54,Codigo!$B$4:$C$67,2,FALSE)),"",VLOOKUP(D54,Codigo!$B$4:$C$67,2,FALSE))=D54,"",VLOOKUP(D54,(Codigo!$B$2:$D$67),3,FALSE))</f>
        <v/>
      </c>
      <c r="D54" s="59"/>
      <c r="E54" s="60"/>
      <c r="F54" s="28"/>
      <c r="G54" s="33"/>
      <c r="H54" s="138"/>
      <c r="J54" s="255" t="str">
        <f t="shared" si="0"/>
        <v/>
      </c>
      <c r="K54" s="256" t="str">
        <f t="shared" si="1"/>
        <v/>
      </c>
      <c r="L54" s="256" t="str">
        <f t="shared" si="2"/>
        <v/>
      </c>
    </row>
    <row r="55" spans="2:12" x14ac:dyDescent="0.3">
      <c r="B55" s="29" t="str">
        <f>IF(IF(ISERROR(VLOOKUP(D55,Codigo!$B$4:$C$67,2,FALSE)),"",VLOOKUP(D55,Codigo!$B$4:$C$67,2,FALSE))=D55,"",VLOOKUP(D55,(Codigo!$B$4:$C$67),2,FALSE))</f>
        <v/>
      </c>
      <c r="C55" s="29" t="str">
        <f>IF(IF(ISERROR(VLOOKUP(D55,Codigo!$B$4:$C$67,2,FALSE)),"",VLOOKUP(D55,Codigo!$B$4:$C$67,2,FALSE))=D55,"",VLOOKUP(D55,(Codigo!$B$2:$D$67),3,FALSE))</f>
        <v/>
      </c>
      <c r="D55" s="59"/>
      <c r="E55" s="60"/>
      <c r="F55" s="28"/>
      <c r="G55" s="33"/>
      <c r="H55" s="138"/>
      <c r="J55" s="255" t="str">
        <f t="shared" si="0"/>
        <v/>
      </c>
      <c r="K55" s="256" t="str">
        <f t="shared" si="1"/>
        <v/>
      </c>
      <c r="L55" s="256" t="str">
        <f t="shared" si="2"/>
        <v/>
      </c>
    </row>
    <row r="56" spans="2:12" x14ac:dyDescent="0.3">
      <c r="B56" s="29" t="str">
        <f>IF(IF(ISERROR(VLOOKUP(D56,Codigo!$B$4:$C$67,2,FALSE)),"",VLOOKUP(D56,Codigo!$B$4:$C$67,2,FALSE))=D56,"",VLOOKUP(D56,(Codigo!$B$4:$C$67),2,FALSE))</f>
        <v/>
      </c>
      <c r="C56" s="29" t="str">
        <f>IF(IF(ISERROR(VLOOKUP(D56,Codigo!$B$4:$C$67,2,FALSE)),"",VLOOKUP(D56,Codigo!$B$4:$C$67,2,FALSE))=D56,"",VLOOKUP(D56,(Codigo!$B$2:$D$67),3,FALSE))</f>
        <v/>
      </c>
      <c r="D56" s="59"/>
      <c r="E56" s="60"/>
      <c r="F56" s="28"/>
      <c r="G56" s="33"/>
      <c r="H56" s="138"/>
      <c r="J56" s="255" t="str">
        <f t="shared" si="0"/>
        <v/>
      </c>
      <c r="K56" s="256" t="str">
        <f t="shared" si="1"/>
        <v/>
      </c>
      <c r="L56" s="256" t="str">
        <f t="shared" si="2"/>
        <v/>
      </c>
    </row>
    <row r="57" spans="2:12" x14ac:dyDescent="0.3">
      <c r="B57" s="29" t="str">
        <f>IF(IF(ISERROR(VLOOKUP(D57,Codigo!$B$4:$C$67,2,FALSE)),"",VLOOKUP(D57,Codigo!$B$4:$C$67,2,FALSE))=D57,"",VLOOKUP(D57,(Codigo!$B$4:$C$67),2,FALSE))</f>
        <v/>
      </c>
      <c r="C57" s="29" t="str">
        <f>IF(IF(ISERROR(VLOOKUP(D57,Codigo!$B$4:$C$67,2,FALSE)),"",VLOOKUP(D57,Codigo!$B$4:$C$67,2,FALSE))=D57,"",VLOOKUP(D57,(Codigo!$B$2:$D$67),3,FALSE))</f>
        <v/>
      </c>
      <c r="D57" s="59"/>
      <c r="E57" s="60"/>
      <c r="F57" s="28"/>
      <c r="G57" s="33"/>
      <c r="H57" s="138"/>
      <c r="J57" s="255" t="str">
        <f t="shared" si="0"/>
        <v/>
      </c>
      <c r="K57" s="256" t="str">
        <f t="shared" si="1"/>
        <v/>
      </c>
      <c r="L57" s="256" t="str">
        <f t="shared" si="2"/>
        <v/>
      </c>
    </row>
    <row r="58" spans="2:12" x14ac:dyDescent="0.3">
      <c r="B58" s="29" t="str">
        <f>IF(IF(ISERROR(VLOOKUP(D58,Codigo!$B$4:$C$67,2,FALSE)),"",VLOOKUP(D58,Codigo!$B$4:$C$67,2,FALSE))=D58,"",VLOOKUP(D58,(Codigo!$B$4:$C$67),2,FALSE))</f>
        <v/>
      </c>
      <c r="C58" s="29" t="str">
        <f>IF(IF(ISERROR(VLOOKUP(D58,Codigo!$B$4:$C$67,2,FALSE)),"",VLOOKUP(D58,Codigo!$B$4:$C$67,2,FALSE))=D58,"",VLOOKUP(D58,(Codigo!$B$2:$D$67),3,FALSE))</f>
        <v/>
      </c>
      <c r="D58" s="59"/>
      <c r="E58" s="60"/>
      <c r="F58" s="28"/>
      <c r="G58" s="33"/>
      <c r="H58" s="138"/>
      <c r="J58" s="255" t="str">
        <f t="shared" si="0"/>
        <v/>
      </c>
      <c r="K58" s="256" t="str">
        <f t="shared" si="1"/>
        <v/>
      </c>
      <c r="L58" s="256" t="str">
        <f t="shared" si="2"/>
        <v/>
      </c>
    </row>
    <row r="59" spans="2:12" x14ac:dyDescent="0.3">
      <c r="B59" s="29" t="str">
        <f>IF(IF(ISERROR(VLOOKUP(D59,Codigo!$B$4:$C$67,2,FALSE)),"",VLOOKUP(D59,Codigo!$B$4:$C$67,2,FALSE))=D59,"",VLOOKUP(D59,(Codigo!$B$4:$C$67),2,FALSE))</f>
        <v/>
      </c>
      <c r="C59" s="29" t="str">
        <f>IF(IF(ISERROR(VLOOKUP(D59,Codigo!$B$4:$C$67,2,FALSE)),"",VLOOKUP(D59,Codigo!$B$4:$C$67,2,FALSE))=D59,"",VLOOKUP(D59,(Codigo!$B$2:$D$67),3,FALSE))</f>
        <v/>
      </c>
      <c r="D59" s="59"/>
      <c r="E59" s="60"/>
      <c r="F59" s="28"/>
      <c r="G59" s="33"/>
      <c r="H59" s="138"/>
      <c r="J59" s="255" t="str">
        <f t="shared" si="0"/>
        <v/>
      </c>
      <c r="K59" s="256" t="str">
        <f t="shared" si="1"/>
        <v/>
      </c>
      <c r="L59" s="256" t="str">
        <f t="shared" si="2"/>
        <v/>
      </c>
    </row>
    <row r="60" spans="2:12" x14ac:dyDescent="0.3">
      <c r="B60" s="29" t="str">
        <f>IF(IF(ISERROR(VLOOKUP(D60,Codigo!$B$4:$C$67,2,FALSE)),"",VLOOKUP(D60,Codigo!$B$4:$C$67,2,FALSE))=D60,"",VLOOKUP(D60,(Codigo!$B$4:$C$67),2,FALSE))</f>
        <v/>
      </c>
      <c r="C60" s="29" t="str">
        <f>IF(IF(ISERROR(VLOOKUP(D60,Codigo!$B$4:$C$67,2,FALSE)),"",VLOOKUP(D60,Codigo!$B$4:$C$67,2,FALSE))=D60,"",VLOOKUP(D60,(Codigo!$B$2:$D$67),3,FALSE))</f>
        <v/>
      </c>
      <c r="D60" s="59"/>
      <c r="E60" s="60"/>
      <c r="F60" s="28"/>
      <c r="G60" s="33"/>
      <c r="H60" s="138"/>
      <c r="J60" s="255" t="str">
        <f t="shared" si="0"/>
        <v/>
      </c>
      <c r="K60" s="256" t="str">
        <f t="shared" si="1"/>
        <v/>
      </c>
      <c r="L60" s="256" t="str">
        <f t="shared" si="2"/>
        <v/>
      </c>
    </row>
    <row r="61" spans="2:12" x14ac:dyDescent="0.3">
      <c r="B61" s="29" t="str">
        <f>IF(IF(ISERROR(VLOOKUP(D61,Codigo!$B$4:$C$67,2,FALSE)),"",VLOOKUP(D61,Codigo!$B$4:$C$67,2,FALSE))=D61,"",VLOOKUP(D61,(Codigo!$B$4:$C$67),2,FALSE))</f>
        <v/>
      </c>
      <c r="C61" s="29" t="str">
        <f>IF(IF(ISERROR(VLOOKUP(D61,Codigo!$B$4:$C$67,2,FALSE)),"",VLOOKUP(D61,Codigo!$B$4:$C$67,2,FALSE))=D61,"",VLOOKUP(D61,(Codigo!$B$2:$D$67),3,FALSE))</f>
        <v/>
      </c>
      <c r="D61" s="59"/>
      <c r="E61" s="60"/>
      <c r="F61" s="28"/>
      <c r="G61" s="33"/>
      <c r="H61" s="138"/>
      <c r="J61" s="255" t="str">
        <f t="shared" si="0"/>
        <v/>
      </c>
      <c r="K61" s="256" t="str">
        <f t="shared" si="1"/>
        <v/>
      </c>
      <c r="L61" s="256" t="str">
        <f t="shared" si="2"/>
        <v/>
      </c>
    </row>
    <row r="62" spans="2:12" x14ac:dyDescent="0.3">
      <c r="B62" s="29" t="str">
        <f>IF(IF(ISERROR(VLOOKUP(D62,Codigo!$B$4:$C$67,2,FALSE)),"",VLOOKUP(D62,Codigo!$B$4:$C$67,2,FALSE))=D62,"",VLOOKUP(D62,(Codigo!$B$4:$C$67),2,FALSE))</f>
        <v/>
      </c>
      <c r="C62" s="29" t="str">
        <f>IF(IF(ISERROR(VLOOKUP(D62,Codigo!$B$4:$C$67,2,FALSE)),"",VLOOKUP(D62,Codigo!$B$4:$C$67,2,FALSE))=D62,"",VLOOKUP(D62,(Codigo!$B$2:$D$67),3,FALSE))</f>
        <v/>
      </c>
      <c r="D62" s="59"/>
      <c r="E62" s="60"/>
      <c r="F62" s="28"/>
      <c r="G62" s="33"/>
      <c r="H62" s="138"/>
      <c r="J62" s="255" t="str">
        <f t="shared" si="0"/>
        <v/>
      </c>
      <c r="K62" s="256" t="str">
        <f t="shared" si="1"/>
        <v/>
      </c>
      <c r="L62" s="256" t="str">
        <f t="shared" si="2"/>
        <v/>
      </c>
    </row>
    <row r="63" spans="2:12" x14ac:dyDescent="0.3">
      <c r="B63" s="29" t="str">
        <f>IF(IF(ISERROR(VLOOKUP(D63,Codigo!$B$4:$C$67,2,FALSE)),"",VLOOKUP(D63,Codigo!$B$4:$C$67,2,FALSE))=D63,"",VLOOKUP(D63,(Codigo!$B$4:$C$67),2,FALSE))</f>
        <v/>
      </c>
      <c r="C63" s="29" t="str">
        <f>IF(IF(ISERROR(VLOOKUP(D63,Codigo!$B$4:$C$67,2,FALSE)),"",VLOOKUP(D63,Codigo!$B$4:$C$67,2,FALSE))=D63,"",VLOOKUP(D63,(Codigo!$B$2:$D$67),3,FALSE))</f>
        <v/>
      </c>
      <c r="D63" s="59"/>
      <c r="E63" s="60"/>
      <c r="F63" s="28"/>
      <c r="G63" s="33"/>
      <c r="H63" s="138"/>
      <c r="J63" s="255" t="str">
        <f t="shared" si="0"/>
        <v/>
      </c>
      <c r="K63" s="256" t="str">
        <f t="shared" si="1"/>
        <v/>
      </c>
      <c r="L63" s="256" t="str">
        <f t="shared" si="2"/>
        <v/>
      </c>
    </row>
    <row r="64" spans="2:12" x14ac:dyDescent="0.3">
      <c r="B64" s="29" t="str">
        <f>IF(IF(ISERROR(VLOOKUP(D64,Codigo!$B$4:$C$67,2,FALSE)),"",VLOOKUP(D64,Codigo!$B$4:$C$67,2,FALSE))=D64,"",VLOOKUP(D64,(Codigo!$B$4:$C$67),2,FALSE))</f>
        <v/>
      </c>
      <c r="C64" s="29" t="str">
        <f>IF(IF(ISERROR(VLOOKUP(D64,Codigo!$B$4:$C$67,2,FALSE)),"",VLOOKUP(D64,Codigo!$B$4:$C$67,2,FALSE))=D64,"",VLOOKUP(D64,(Codigo!$B$2:$D$67),3,FALSE))</f>
        <v/>
      </c>
      <c r="D64" s="59"/>
      <c r="E64" s="60"/>
      <c r="F64" s="28"/>
      <c r="G64" s="33"/>
      <c r="H64" s="138"/>
      <c r="J64" s="255" t="str">
        <f t="shared" si="0"/>
        <v/>
      </c>
      <c r="K64" s="256" t="str">
        <f t="shared" si="1"/>
        <v/>
      </c>
      <c r="L64" s="256" t="str">
        <f t="shared" si="2"/>
        <v/>
      </c>
    </row>
    <row r="65" spans="2:12" x14ac:dyDescent="0.3">
      <c r="B65" s="29" t="str">
        <f>IF(IF(ISERROR(VLOOKUP(D65,Codigo!$B$4:$C$67,2,FALSE)),"",VLOOKUP(D65,Codigo!$B$4:$C$67,2,FALSE))=D65,"",VLOOKUP(D65,(Codigo!$B$4:$C$67),2,FALSE))</f>
        <v/>
      </c>
      <c r="C65" s="29" t="str">
        <f>IF(IF(ISERROR(VLOOKUP(D65,Codigo!$B$4:$C$67,2,FALSE)),"",VLOOKUP(D65,Codigo!$B$4:$C$67,2,FALSE))=D65,"",VLOOKUP(D65,(Codigo!$B$2:$D$67),3,FALSE))</f>
        <v/>
      </c>
      <c r="D65" s="59"/>
      <c r="E65" s="60"/>
      <c r="F65" s="28"/>
      <c r="G65" s="33"/>
      <c r="H65" s="138"/>
      <c r="J65" s="255" t="str">
        <f t="shared" si="0"/>
        <v/>
      </c>
      <c r="K65" s="256" t="str">
        <f t="shared" si="1"/>
        <v/>
      </c>
      <c r="L65" s="256" t="str">
        <f t="shared" si="2"/>
        <v/>
      </c>
    </row>
    <row r="66" spans="2:12" x14ac:dyDescent="0.3">
      <c r="B66" s="29" t="str">
        <f>IF(IF(ISERROR(VLOOKUP(D66,Codigo!$B$4:$C$67,2,FALSE)),"",VLOOKUP(D66,Codigo!$B$4:$C$67,2,FALSE))=D66,"",VLOOKUP(D66,(Codigo!$B$4:$C$67),2,FALSE))</f>
        <v/>
      </c>
      <c r="C66" s="29" t="str">
        <f>IF(IF(ISERROR(VLOOKUP(D66,Codigo!$B$4:$C$67,2,FALSE)),"",VLOOKUP(D66,Codigo!$B$4:$C$67,2,FALSE))=D66,"",VLOOKUP(D66,(Codigo!$B$2:$D$67),3,FALSE))</f>
        <v/>
      </c>
      <c r="D66" s="59"/>
      <c r="E66" s="60"/>
      <c r="F66" s="28"/>
      <c r="G66" s="33"/>
      <c r="H66" s="138"/>
      <c r="J66" s="255" t="str">
        <f t="shared" si="0"/>
        <v/>
      </c>
      <c r="K66" s="256" t="str">
        <f t="shared" si="1"/>
        <v/>
      </c>
      <c r="L66" s="256" t="str">
        <f t="shared" si="2"/>
        <v/>
      </c>
    </row>
    <row r="67" spans="2:12" x14ac:dyDescent="0.3">
      <c r="B67" s="29" t="str">
        <f>IF(IF(ISERROR(VLOOKUP(D67,Codigo!$B$4:$C$67,2,FALSE)),"",VLOOKUP(D67,Codigo!$B$4:$C$67,2,FALSE))=D67,"",VLOOKUP(D67,(Codigo!$B$4:$C$67),2,FALSE))</f>
        <v/>
      </c>
      <c r="C67" s="29" t="str">
        <f>IF(IF(ISERROR(VLOOKUP(D67,Codigo!$B$4:$C$67,2,FALSE)),"",VLOOKUP(D67,Codigo!$B$4:$C$67,2,FALSE))=D67,"",VLOOKUP(D67,(Codigo!$B$2:$D$67),3,FALSE))</f>
        <v/>
      </c>
      <c r="D67" s="59"/>
      <c r="E67" s="60"/>
      <c r="F67" s="28"/>
      <c r="G67" s="33"/>
      <c r="H67" s="138"/>
      <c r="J67" s="255" t="str">
        <f t="shared" si="0"/>
        <v/>
      </c>
      <c r="K67" s="256" t="str">
        <f t="shared" si="1"/>
        <v/>
      </c>
      <c r="L67" s="256" t="str">
        <f t="shared" si="2"/>
        <v/>
      </c>
    </row>
    <row r="68" spans="2:12" x14ac:dyDescent="0.3">
      <c r="B68" s="29" t="str">
        <f>IF(IF(ISERROR(VLOOKUP(D68,Codigo!$B$4:$C$67,2,FALSE)),"",VLOOKUP(D68,Codigo!$B$4:$C$67,2,FALSE))=D68,"",VLOOKUP(D68,(Codigo!$B$4:$C$67),2,FALSE))</f>
        <v/>
      </c>
      <c r="C68" s="29" t="str">
        <f>IF(IF(ISERROR(VLOOKUP(D68,Codigo!$B$4:$C$67,2,FALSE)),"",VLOOKUP(D68,Codigo!$B$4:$C$67,2,FALSE))=D68,"",VLOOKUP(D68,(Codigo!$B$2:$D$67),3,FALSE))</f>
        <v/>
      </c>
      <c r="D68" s="59"/>
      <c r="E68" s="60"/>
      <c r="F68" s="28"/>
      <c r="G68" s="33"/>
      <c r="H68" s="138"/>
      <c r="J68" s="255" t="str">
        <f t="shared" si="0"/>
        <v/>
      </c>
      <c r="K68" s="256" t="str">
        <f t="shared" si="1"/>
        <v/>
      </c>
      <c r="L68" s="256" t="str">
        <f t="shared" si="2"/>
        <v/>
      </c>
    </row>
    <row r="69" spans="2:12" x14ac:dyDescent="0.3">
      <c r="B69" s="29" t="str">
        <f>IF(IF(ISERROR(VLOOKUP(D69,Codigo!$B$4:$C$67,2,FALSE)),"",VLOOKUP(D69,Codigo!$B$4:$C$67,2,FALSE))=D69,"",VLOOKUP(D69,(Codigo!$B$4:$C$67),2,FALSE))</f>
        <v/>
      </c>
      <c r="C69" s="29" t="str">
        <f>IF(IF(ISERROR(VLOOKUP(D69,Codigo!$B$4:$C$67,2,FALSE)),"",VLOOKUP(D69,Codigo!$B$4:$C$67,2,FALSE))=D69,"",VLOOKUP(D69,(Codigo!$B$2:$D$67),3,FALSE))</f>
        <v/>
      </c>
      <c r="D69" s="59"/>
      <c r="E69" s="60"/>
      <c r="F69" s="28"/>
      <c r="G69" s="33"/>
      <c r="H69" s="138"/>
      <c r="J69" s="255" t="str">
        <f t="shared" si="0"/>
        <v/>
      </c>
      <c r="K69" s="256" t="str">
        <f t="shared" si="1"/>
        <v/>
      </c>
      <c r="L69" s="256" t="str">
        <f t="shared" si="2"/>
        <v/>
      </c>
    </row>
    <row r="70" spans="2:12" x14ac:dyDescent="0.3">
      <c r="B70" s="29" t="str">
        <f>IF(IF(ISERROR(VLOOKUP(D70,Codigo!$B$4:$C$67,2,FALSE)),"",VLOOKUP(D70,Codigo!$B$4:$C$67,2,FALSE))=D70,"",VLOOKUP(D70,(Codigo!$B$4:$C$67),2,FALSE))</f>
        <v/>
      </c>
      <c r="C70" s="29" t="str">
        <f>IF(IF(ISERROR(VLOOKUP(D70,Codigo!$B$4:$C$67,2,FALSE)),"",VLOOKUP(D70,Codigo!$B$4:$C$67,2,FALSE))=D70,"",VLOOKUP(D70,(Codigo!$B$2:$D$67),3,FALSE))</f>
        <v/>
      </c>
      <c r="D70" s="59"/>
      <c r="E70" s="60"/>
      <c r="F70" s="28"/>
      <c r="G70" s="33"/>
      <c r="H70" s="138"/>
      <c r="J70" s="255" t="str">
        <f t="shared" si="0"/>
        <v/>
      </c>
      <c r="K70" s="256" t="str">
        <f t="shared" si="1"/>
        <v/>
      </c>
      <c r="L70" s="256" t="str">
        <f t="shared" si="2"/>
        <v/>
      </c>
    </row>
    <row r="71" spans="2:12" x14ac:dyDescent="0.3">
      <c r="B71" s="29" t="str">
        <f>IF(IF(ISERROR(VLOOKUP(D71,Codigo!$B$4:$C$67,2,FALSE)),"",VLOOKUP(D71,Codigo!$B$4:$C$67,2,FALSE))=D71,"",VLOOKUP(D71,(Codigo!$B$4:$C$67),2,FALSE))</f>
        <v/>
      </c>
      <c r="C71" s="29" t="str">
        <f>IF(IF(ISERROR(VLOOKUP(D71,Codigo!$B$4:$C$67,2,FALSE)),"",VLOOKUP(D71,Codigo!$B$4:$C$67,2,FALSE))=D71,"",VLOOKUP(D71,(Codigo!$B$2:$D$67),3,FALSE))</f>
        <v/>
      </c>
      <c r="D71" s="59"/>
      <c r="E71" s="60"/>
      <c r="F71" s="28"/>
      <c r="G71" s="33"/>
      <c r="H71" s="138"/>
      <c r="J71" s="255" t="str">
        <f>IF(H71="",(""),IF(H71="DP",(J70+G71),IF(H71="DB",(J70-G71),IF(H71="TR",(J70-G71),IF(H71="CH",(J70-G71),IF(H71="SQ",(J70-G71),J70))))))</f>
        <v/>
      </c>
      <c r="K71" s="256" t="str">
        <f>IF(H71="",(""),IF(H71="SQ",(K70+G71),IF(H71="RD",(K70+G71),IF(H71="DI",(K70-G71),K70))))</f>
        <v/>
      </c>
      <c r="L71" s="256" t="str">
        <f>IF(H71="",(""),IF(H71="CC",(L70+G71),IF(H71="PC",(L70+G71),L70)))</f>
        <v/>
      </c>
    </row>
    <row r="72" spans="2:12" x14ac:dyDescent="0.3">
      <c r="B72" s="29" t="str">
        <f>IF(IF(ISERROR(VLOOKUP(D72,Codigo!$B$4:$C$67,2,FALSE)),"",VLOOKUP(D72,Codigo!$B$4:$C$67,2,FALSE))=D72,"",VLOOKUP(D72,(Codigo!$B$4:$C$67),2,FALSE))</f>
        <v/>
      </c>
      <c r="C72" s="29" t="str">
        <f>IF(IF(ISERROR(VLOOKUP(D72,Codigo!$B$4:$C$67,2,FALSE)),"",VLOOKUP(D72,Codigo!$B$4:$C$67,2,FALSE))=D72,"",VLOOKUP(D72,(Codigo!$B$2:$D$67),3,FALSE))</f>
        <v/>
      </c>
      <c r="D72" s="59"/>
      <c r="E72" s="60"/>
      <c r="F72" s="28"/>
      <c r="G72" s="33"/>
      <c r="H72" s="138"/>
      <c r="J72" s="255" t="str">
        <f>IF(H72="",(""),IF(H72="DP",(J71+G72),IF(H72="DB",(J71-G72),IF(H72="TR",(J71-G72),IF(H72="CH",(J71-G72),IF(H72="SQ",(J71-G72),J71))))))</f>
        <v/>
      </c>
      <c r="K72" s="256" t="str">
        <f>IF(H72="",(""),IF(H72="SQ",(K71+G72),IF(H72="RD",(K71+G72),IF(H72="DI",(K71-G72),K71))))</f>
        <v/>
      </c>
      <c r="L72" s="256" t="str">
        <f>IF(H72="",(""),IF(H72="CC",(L71+G72),IF(H72="PC",(L71+G72),L71)))</f>
        <v/>
      </c>
    </row>
    <row r="73" spans="2:12" x14ac:dyDescent="0.3">
      <c r="B73" s="29" t="str">
        <f>IF(IF(ISERROR(VLOOKUP(D73,Codigo!$B$4:$C$67,2,FALSE)),"",VLOOKUP(D73,Codigo!$B$4:$C$67,2,FALSE))=D73,"",VLOOKUP(D73,(Codigo!$B$4:$C$67),2,FALSE))</f>
        <v/>
      </c>
      <c r="C73" s="29" t="str">
        <f>IF(IF(ISERROR(VLOOKUP(D73,Codigo!$B$4:$C$67,2,FALSE)),"",VLOOKUP(D73,Codigo!$B$4:$C$67,2,FALSE))=D73,"",VLOOKUP(D73,(Codigo!$B$2:$D$67),3,FALSE))</f>
        <v/>
      </c>
      <c r="D73" s="59"/>
      <c r="E73" s="60"/>
      <c r="F73" s="28"/>
      <c r="G73" s="33"/>
      <c r="H73" s="138"/>
      <c r="J73" s="255" t="str">
        <f>IF(H73="",(""),IF(H73="DP",(J72+G73),IF(H73="DB",(J72-G73),IF(H73="TR",(J72-G73),IF(H73="CH",(J72-G73),IF(H73="SQ",(J72-G73),J72))))))</f>
        <v/>
      </c>
      <c r="K73" s="256" t="str">
        <f>IF(H73="",(""),IF(H73="SQ",(K72+G73),IF(H73="RD",(K72+G73),IF(H73="DI",(K72-G73),K72))))</f>
        <v/>
      </c>
      <c r="L73" s="256" t="str">
        <f>IF(H73="",(""),IF(H73="CC",(L72+G73),IF(H73="PC",(L72+G73),L72)))</f>
        <v/>
      </c>
    </row>
    <row r="74" spans="2:12" x14ac:dyDescent="0.3">
      <c r="B74" s="29" t="str">
        <f>IF(IF(ISERROR(VLOOKUP(D74,Codigo!$B$4:$C$67,2,FALSE)),"",VLOOKUP(D74,Codigo!$B$4:$C$67,2,FALSE))=D74,"",VLOOKUP(D74,(Codigo!$B$4:$C$67),2,FALSE))</f>
        <v/>
      </c>
      <c r="C74" s="29" t="str">
        <f>IF(IF(ISERROR(VLOOKUP(D74,Codigo!$B$4:$C$67,2,FALSE)),"",VLOOKUP(D74,Codigo!$B$4:$C$67,2,FALSE))=D74,"",VLOOKUP(D74,(Codigo!$B$2:$D$67),3,FALSE))</f>
        <v/>
      </c>
      <c r="D74" s="59"/>
      <c r="E74" s="60"/>
      <c r="F74" s="28"/>
      <c r="G74" s="33"/>
      <c r="H74" s="138"/>
      <c r="J74" s="255" t="str">
        <f>IF(H74="",(""),IF(H74="DP",(J73+G74),IF(H74="DB",(J73-G74),IF(H74="TR",(J73-G74),IF(H74="CH",(J73-G74),IF(H74="SQ",(J73-G74),J73))))))</f>
        <v/>
      </c>
      <c r="K74" s="256" t="str">
        <f>IF(H74="",(""),IF(H74="SQ",(K73+G74),IF(H74="RD",(K73+G74),IF(H74="DI",(K73-G74),K73))))</f>
        <v/>
      </c>
      <c r="L74" s="256" t="str">
        <f>IF(H74="",(""),IF(H74="CC",(L73+G74),IF(H74="PC",(L73+G74),L73)))</f>
        <v/>
      </c>
    </row>
    <row r="75" spans="2:12" x14ac:dyDescent="0.3">
      <c r="B75" s="29" t="str">
        <f>IF(IF(ISERROR(VLOOKUP(D75,Codigo!$B$4:$C$67,2,FALSE)),"",VLOOKUP(D75,Codigo!$B$4:$C$67,2,FALSE))=D75,"",VLOOKUP(D75,(Codigo!$B$4:$C$67),2,FALSE))</f>
        <v/>
      </c>
      <c r="C75" s="29" t="str">
        <f>IF(IF(ISERROR(VLOOKUP(D75,Codigo!$B$4:$C$67,2,FALSE)),"",VLOOKUP(D75,Codigo!$B$4:$C$67,2,FALSE))=D75,"",VLOOKUP(D75,(Codigo!$B$2:$D$67),3,FALSE))</f>
        <v/>
      </c>
      <c r="D75" s="59"/>
      <c r="E75" s="60"/>
      <c r="F75" s="28"/>
      <c r="G75" s="33"/>
      <c r="H75" s="138"/>
      <c r="J75" s="255" t="str">
        <f>IF(H75="",(""),IF(H75="DP",(J74+G75),IF(H75="DB",(J74-G75),IF(H75="TR",(J74-G75),IF(H75="CH",(J74-G75),IF(H75="SQ",(J74-G75),J74))))))</f>
        <v/>
      </c>
      <c r="K75" s="256" t="str">
        <f>IF(H75="",(""),IF(H75="SQ",(K74+G75),IF(H75="RD",(K74+G75),IF(H75="DI",(K74-G75),K74))))</f>
        <v/>
      </c>
      <c r="L75" s="256" t="str">
        <f>IF(H75="",(""),IF(H75="CC",(L74+G75),IF(H75="PC",(L74+G75),L74)))</f>
        <v/>
      </c>
    </row>
    <row r="76" spans="2:12" ht="18" x14ac:dyDescent="0.35">
      <c r="B76" s="61"/>
      <c r="C76" s="61"/>
      <c r="D76" s="61"/>
      <c r="E76" s="55"/>
      <c r="F76" s="57" t="s">
        <v>153</v>
      </c>
      <c r="G76" s="58"/>
      <c r="H76" s="61"/>
      <c r="I76" s="72"/>
      <c r="J76" s="73" t="str">
        <f>+J75</f>
        <v/>
      </c>
      <c r="K76" s="74" t="str">
        <f>+K75</f>
        <v/>
      </c>
      <c r="L76" s="74" t="str">
        <f>+L75</f>
        <v/>
      </c>
    </row>
    <row r="213" spans="1:1" x14ac:dyDescent="0.3">
      <c r="A213">
        <v>1</v>
      </c>
    </row>
    <row r="214" spans="1:1" x14ac:dyDescent="0.3">
      <c r="A214">
        <v>1</v>
      </c>
    </row>
  </sheetData>
  <sheetProtection selectLockedCells="1"/>
  <protectedRanges>
    <protectedRange password="C0D7" sqref="B6:C75" name="Lançamentos_2"/>
    <protectedRange password="C0D7" sqref="E72:E75 F72:F75" name="Lançamentos_1_3_1"/>
    <protectedRange password="C0D7" sqref="H72:H75" name="Lançamentos_1_2_1_3"/>
    <protectedRange password="C0D7" sqref="G72:G75" name="Lançamentos_1_1_3"/>
    <protectedRange password="C117" sqref="D72:D75" name="Código_1_1_1_1"/>
    <protectedRange password="C0D7" sqref="E6:E71 F10 F12:F71" name="Lançamentos_1_2"/>
    <protectedRange password="C0D7" sqref="H6:H71" name="Lançamentos_1_2_1_1"/>
    <protectedRange password="C0D7" sqref="G6:G71" name="Lançamentos_1_1_1"/>
    <protectedRange password="C117" sqref="D10:D71" name="Código_1_1_1"/>
    <protectedRange password="C0D7" sqref="F6:F9" name="Lançamentos_2_2"/>
    <protectedRange password="C117" sqref="D6:D9" name="Código_1_2"/>
  </protectedRanges>
  <mergeCells count="3">
    <mergeCell ref="J3:K3"/>
    <mergeCell ref="J2:L2"/>
    <mergeCell ref="H3:H4"/>
  </mergeCells>
  <phoneticPr fontId="18" type="noConversion"/>
  <pageMargins left="0.25" right="0.27013888888888887" top="0.2298611111111111" bottom="0.32013888888888886" header="0.51180555555555551" footer="0.51180555555555551"/>
  <pageSetup paperSize="9" scale="68" firstPageNumber="0" orientation="portrait" horizontalDpi="300" verticalDpi="300" r:id="rId1"/>
  <headerFooter alignWithMargins="0"/>
  <ignoredErrors>
    <ignoredError sqref="J6:L75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7902" r:id="rId4" name="Drop Down 1198">
              <controlPr defaultSize="0" autoLine="0" autoPict="0">
                <anchor moveWithCells="1">
                  <from>
                    <xdr:col>2</xdr:col>
                    <xdr:colOff>2118360</xdr:colOff>
                    <xdr:row>4</xdr:row>
                    <xdr:rowOff>7620</xdr:rowOff>
                  </from>
                  <to>
                    <xdr:col>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903" r:id="rId5" name="Drop Down 1199">
              <controlPr defaultSize="0" autoLine="0" autoPict="0">
                <anchor moveWithCells="1">
                  <from>
                    <xdr:col>6</xdr:col>
                    <xdr:colOff>7620</xdr:colOff>
                    <xdr:row>4</xdr:row>
                    <xdr:rowOff>7620</xdr:rowOff>
                  </from>
                  <to>
                    <xdr:col>8</xdr:col>
                    <xdr:colOff>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965" r:id="rId6" name="Drop Down 1261">
              <controlPr defaultSize="0" autoLine="0" autoPict="0">
                <anchor moveWithCells="1">
                  <from>
                    <xdr:col>5</xdr:col>
                    <xdr:colOff>2979420</xdr:colOff>
                    <xdr:row>4</xdr:row>
                    <xdr:rowOff>7620</xdr:rowOff>
                  </from>
                  <to>
                    <xdr:col>8</xdr:col>
                    <xdr:colOff>7620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3">
    <pageSetUpPr fitToPage="1"/>
  </sheetPr>
  <dimension ref="A1:Q115"/>
  <sheetViews>
    <sheetView showGridLines="0" workbookViewId="0">
      <pane xSplit="2" ySplit="3" topLeftCell="C82" activePane="bottomRight" state="frozen"/>
      <selection pane="topRight" activeCell="C1" sqref="C1"/>
      <selection pane="bottomLeft" activeCell="A4" sqref="A4"/>
      <selection pane="bottomRight" activeCell="C97" sqref="C97"/>
    </sheetView>
  </sheetViews>
  <sheetFormatPr defaultRowHeight="14.4" x14ac:dyDescent="0.3"/>
  <cols>
    <col min="1" max="1" width="0.88671875" customWidth="1"/>
    <col min="2" max="2" width="46.5546875" customWidth="1"/>
    <col min="3" max="14" width="11.5546875" customWidth="1"/>
    <col min="15" max="15" width="11.88671875" style="17" customWidth="1"/>
    <col min="16" max="16" width="1" customWidth="1"/>
    <col min="17" max="17" width="9.5546875" customWidth="1"/>
  </cols>
  <sheetData>
    <row r="1" spans="1:16" s="35" customFormat="1" ht="40.5" customHeight="1" x14ac:dyDescent="0.85">
      <c r="A1" s="280"/>
      <c r="B1" s="280"/>
      <c r="C1" s="281" t="s">
        <v>0</v>
      </c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16" ht="23.25" customHeight="1" x14ac:dyDescent="0.6">
      <c r="B2" s="87" t="s">
        <v>237</v>
      </c>
      <c r="C2" s="84"/>
      <c r="D2" s="84"/>
      <c r="E2" s="84"/>
      <c r="F2" s="84"/>
      <c r="G2" s="84"/>
      <c r="H2" s="84"/>
      <c r="I2" s="139">
        <f>+Instruções!I19</f>
        <v>2026</v>
      </c>
      <c r="J2" s="84"/>
      <c r="K2" s="84"/>
      <c r="L2" s="84"/>
      <c r="M2" s="84"/>
      <c r="N2" s="85"/>
      <c r="O2" s="86"/>
      <c r="P2" s="84"/>
    </row>
    <row r="3" spans="1:16" ht="14.25" customHeight="1" x14ac:dyDescent="0.3">
      <c r="A3" s="24"/>
      <c r="B3" s="29" t="str">
        <f>+Codigo!C4</f>
        <v>Receita</v>
      </c>
      <c r="C3" s="23" t="s">
        <v>51</v>
      </c>
      <c r="D3" s="23" t="s">
        <v>52</v>
      </c>
      <c r="E3" s="23" t="s">
        <v>53</v>
      </c>
      <c r="F3" s="23" t="s">
        <v>54</v>
      </c>
      <c r="G3" s="23" t="s">
        <v>55</v>
      </c>
      <c r="H3" s="23" t="s">
        <v>56</v>
      </c>
      <c r="I3" s="23" t="s">
        <v>57</v>
      </c>
      <c r="J3" s="23" t="s">
        <v>58</v>
      </c>
      <c r="K3" s="23" t="s">
        <v>59</v>
      </c>
      <c r="L3" s="23" t="s">
        <v>60</v>
      </c>
      <c r="M3" s="23" t="s">
        <v>61</v>
      </c>
      <c r="N3" s="23" t="s">
        <v>62</v>
      </c>
      <c r="O3" s="23" t="s">
        <v>268</v>
      </c>
      <c r="P3" s="24"/>
    </row>
    <row r="4" spans="1:16" x14ac:dyDescent="0.3">
      <c r="A4" s="30"/>
      <c r="B4" s="28" t="str">
        <f>+Codigo!D4</f>
        <v>Salário  / Adiantamento</v>
      </c>
      <c r="C4" s="37">
        <f>SUMIF(Jan!$D$6:$D$75,"R1",(Jan!$G$6:$G$75))</f>
        <v>0</v>
      </c>
      <c r="D4" s="37">
        <f>SUMIF(Fev!$D$6:$D$75,"R1",(Fev!$G$6:$G$75))</f>
        <v>0</v>
      </c>
      <c r="E4" s="37">
        <f>SUMIF(Mar!$D$6:$D$75,"R1",(Mar!$G$6:$G$75))</f>
        <v>0</v>
      </c>
      <c r="F4" s="37">
        <f>SUMIF(Abr!$D$6:$D$75,"R1",(Abr!$G$6:$G$75))</f>
        <v>0</v>
      </c>
      <c r="G4" s="37">
        <f>SUMIF(Mai!$D$6:$D$75,"R1",(Mai!$G$6:$G$75))</f>
        <v>0</v>
      </c>
      <c r="H4" s="37">
        <f>SUMIF(Jun!$D$6:$D$75,"R1",(Jun!$G$6:$G$75))</f>
        <v>0</v>
      </c>
      <c r="I4" s="37">
        <f>SUMIF(Jul!$D$6:$D$75,"R1",(Jul!$G$6:$G$75))</f>
        <v>0</v>
      </c>
      <c r="J4" s="37">
        <f>SUMIF(Ago!$D$6:$D$75,"R1",(Ago!$G$6:$G$75))</f>
        <v>0</v>
      </c>
      <c r="K4" s="37">
        <f>SUMIF(Set!$D$6:$D$75,"R1",(Set!$G$6:$G$75))</f>
        <v>0</v>
      </c>
      <c r="L4" s="37">
        <f>SUMIF(Out!$D$6:$D$75,"R1",(Out!$G$6:$G$75))</f>
        <v>0</v>
      </c>
      <c r="M4" s="37">
        <f>SUMIF(Nov!$D$6:$D$75,"R1",(Nov!$G$6:$G$75))</f>
        <v>0</v>
      </c>
      <c r="N4" s="37">
        <f>SUMIF(Dez!$D$6:$D$75,"R1",(Dez!$G$6:$G$75))</f>
        <v>0</v>
      </c>
      <c r="O4" s="151">
        <f t="shared" ref="O4:O9" si="0">SUM(C4:N4)</f>
        <v>0</v>
      </c>
      <c r="P4" s="30"/>
    </row>
    <row r="5" spans="1:16" x14ac:dyDescent="0.3">
      <c r="A5" s="30"/>
      <c r="B5" s="28" t="str">
        <f>+Codigo!D5</f>
        <v>Férias</v>
      </c>
      <c r="C5" s="37">
        <f>SUMIF(Jan!$D$6:$D$75,"R2",(Jan!$G$6:$G$75))</f>
        <v>0</v>
      </c>
      <c r="D5" s="37">
        <f>SUMIF(Fev!$D$6:$D$75,"R2",(Fev!$G$6:$G$75))</f>
        <v>0</v>
      </c>
      <c r="E5" s="37">
        <f>SUMIF(Mar!$D$6:$D$75,"R2",(Mar!$G$6:$G$75))</f>
        <v>0</v>
      </c>
      <c r="F5" s="37">
        <f>SUMIF(Abr!$D$6:$D$75,"R2",(Abr!$G$6:$G$75))</f>
        <v>0</v>
      </c>
      <c r="G5" s="37">
        <f>SUMIF(Mai!$D$6:$D$75,"R2",(Mai!$G$6:$G$75))</f>
        <v>0</v>
      </c>
      <c r="H5" s="37">
        <f>SUMIF(Jun!$D$6:$D$75,"R2",(Jun!$G$6:$G$75))</f>
        <v>0</v>
      </c>
      <c r="I5" s="37">
        <f>SUMIF(Jul!$D$6:$D$75,"R2",(Jul!$G$6:$G$75))</f>
        <v>0</v>
      </c>
      <c r="J5" s="37">
        <f>SUMIF(Ago!$D$6:$D$75,"R2",(Ago!$G$6:$G$75))</f>
        <v>0</v>
      </c>
      <c r="K5" s="37">
        <f>SUMIF(Set!$D$6:$D$75,"R2",(Set!$G$6:$G$75))</f>
        <v>0</v>
      </c>
      <c r="L5" s="37">
        <f>SUMIF(Out!$D$6:$D$75,"R2",(Out!$G$6:$G$75))</f>
        <v>0</v>
      </c>
      <c r="M5" s="37">
        <f>SUMIF(Nov!$D$6:$D$75,"R2",(Nov!$G$6:$G$75))</f>
        <v>0</v>
      </c>
      <c r="N5" s="37">
        <f>SUMIF(Dez!$D$6:$D$75,"R2",(Dez!$G$6:$G$75))</f>
        <v>0</v>
      </c>
      <c r="O5" s="151">
        <f t="shared" si="0"/>
        <v>0</v>
      </c>
      <c r="P5" s="30"/>
    </row>
    <row r="6" spans="1:16" x14ac:dyDescent="0.3">
      <c r="A6" s="30"/>
      <c r="B6" s="28" t="str">
        <f>+Codigo!D6</f>
        <v>13º salário</v>
      </c>
      <c r="C6" s="37">
        <f>SUMIF(Jan!$D$6:$D$75,"R3",(Jan!$G$6:$G$75))</f>
        <v>0</v>
      </c>
      <c r="D6" s="37">
        <f>SUMIF(Fev!$D$6:$D$75,"R3",(Fev!$G$6:$G$75))</f>
        <v>0</v>
      </c>
      <c r="E6" s="37">
        <f>SUMIF(Mar!$D$6:$D$75,"R3",(Mar!$G$6:$G$75))</f>
        <v>0</v>
      </c>
      <c r="F6" s="37">
        <f>SUMIF(Abr!$D$6:$D$75,"R3",(Abr!$G$6:$G$75))</f>
        <v>0</v>
      </c>
      <c r="G6" s="37">
        <f>SUMIF(Mai!$D$6:$D$75,"R3",(Mai!$G$6:$G$75))</f>
        <v>0</v>
      </c>
      <c r="H6" s="37">
        <f>SUMIF(Jun!$D$6:$D$75,"R3",(Jun!$G$6:$G$75))</f>
        <v>0</v>
      </c>
      <c r="I6" s="37">
        <f>SUMIF(Jul!$D$6:$D$75,"R3",(Jul!$G$6:$G$75))</f>
        <v>0</v>
      </c>
      <c r="J6" s="37">
        <f>SUMIF(Ago!$D$6:$D$75,"R3",(Ago!$G$6:$G$75))</f>
        <v>0</v>
      </c>
      <c r="K6" s="37">
        <f>SUMIF(Set!$D$6:$D$75,"R3",(Set!$G$6:$G$75))</f>
        <v>0</v>
      </c>
      <c r="L6" s="37">
        <f>SUMIF(Out!$D$6:$D$75,"R3",(Out!$G$6:$G$75))</f>
        <v>0</v>
      </c>
      <c r="M6" s="37">
        <f>SUMIF(Nov!$D$6:$D$75,"R3",(Nov!$G$6:$G$75))</f>
        <v>0</v>
      </c>
      <c r="N6" s="37">
        <f>SUMIF(Dez!$D$6:$D$75,"R3",(Dez!$G$6:$G$75))</f>
        <v>750</v>
      </c>
      <c r="O6" s="151">
        <f t="shared" si="0"/>
        <v>750</v>
      </c>
      <c r="P6" s="30"/>
    </row>
    <row r="7" spans="1:16" x14ac:dyDescent="0.3">
      <c r="A7" s="30"/>
      <c r="B7" s="28" t="str">
        <f>+Codigo!D7</f>
        <v>Aposentadoria</v>
      </c>
      <c r="C7" s="37">
        <f>SUMIF(Jan!$D$6:$D$75,"R4",(Jan!$G$6:$G$75))</f>
        <v>1000</v>
      </c>
      <c r="D7" s="37">
        <f>SUMIF(Fev!$D$6:$D$75,"R4",(Fev!$G$6:$G$75))</f>
        <v>0</v>
      </c>
      <c r="E7" s="37">
        <f>SUMIF(Mar!$D$6:$D$75,"R4",(Mar!$G$6:$G$75))</f>
        <v>0</v>
      </c>
      <c r="F7" s="37">
        <f>SUMIF(Abr!$D$6:$D$75,"R4",(Abr!$G$6:$G$75))</f>
        <v>0</v>
      </c>
      <c r="G7" s="37">
        <f>SUMIF(Mai!$D$6:$D$75,"R4",(Mai!$G$6:$G$75))</f>
        <v>0</v>
      </c>
      <c r="H7" s="37">
        <f>SUMIF(Jun!$D$6:$D$75,"R4",(Jun!$G$6:$G$75))</f>
        <v>0</v>
      </c>
      <c r="I7" s="37">
        <f>SUMIF(Jul!$D$6:$D$75,"R4",(Jul!$G$6:$G$75))</f>
        <v>0</v>
      </c>
      <c r="J7" s="37">
        <f>SUMIF(Ago!$D$6:$D$75,"R4",(Ago!$G$6:$G$75))</f>
        <v>0</v>
      </c>
      <c r="K7" s="37">
        <f>SUMIF(Set!$D$6:$D$75,"R4",(Set!$G$6:$G$75))</f>
        <v>0</v>
      </c>
      <c r="L7" s="37">
        <f>SUMIF(Out!$D$6:$D$75,"R4",(Out!$G$6:$G$75))</f>
        <v>0</v>
      </c>
      <c r="M7" s="37">
        <f>SUMIF(Nov!$D$6:$D$75,"R4",(Nov!$G$6:$G$75))</f>
        <v>0</v>
      </c>
      <c r="N7" s="37">
        <f>SUMIF(Dez!$D$6:$D$75,"R4",(Dez!$G$6:$G$75))</f>
        <v>0</v>
      </c>
      <c r="O7" s="151">
        <f t="shared" si="0"/>
        <v>1000</v>
      </c>
      <c r="P7" s="30"/>
    </row>
    <row r="8" spans="1:16" x14ac:dyDescent="0.3">
      <c r="A8" s="30"/>
      <c r="B8" s="28" t="str">
        <f>+Codigo!D8</f>
        <v>Receita extra (aluguel, restituição IR)</v>
      </c>
      <c r="C8" s="37">
        <f>SUMIF(Jan!$D$6:$D$75,"R5",(Jan!$G$6:$G$75))</f>
        <v>0</v>
      </c>
      <c r="D8" s="37">
        <f>SUMIF(Fev!$D$6:$D$75,"R5",(Fev!$G$6:$G$75))</f>
        <v>0</v>
      </c>
      <c r="E8" s="37">
        <f>SUMIF(Mar!$D$6:$D$75,"R5",(Mar!$G$6:$G$75))</f>
        <v>0</v>
      </c>
      <c r="F8" s="37">
        <f>SUMIF(Abr!$D$6:$D$75,"R5",(Abr!$G$6:$G$75))</f>
        <v>0</v>
      </c>
      <c r="G8" s="37">
        <f>SUMIF(Mai!$D$6:$D$75,"R5",(Mai!$G$6:$G$75))</f>
        <v>0</v>
      </c>
      <c r="H8" s="37">
        <f>SUMIF(Jun!$D$6:$D$75,"R5",(Jun!$G$6:$G$75))</f>
        <v>0</v>
      </c>
      <c r="I8" s="37">
        <f>SUMIF(Jul!$D$6:$D$75,"R5",(Jul!$G$6:$G$75))</f>
        <v>0</v>
      </c>
      <c r="J8" s="37">
        <f>SUMIF(Ago!$D$6:$D$75,"R5",(Ago!$G$6:$G$75))</f>
        <v>0</v>
      </c>
      <c r="K8" s="37">
        <f>SUMIF(Set!$D$6:$D$75,"R5",(Set!$G$6:$G$75))</f>
        <v>0</v>
      </c>
      <c r="L8" s="37">
        <f>SUMIF(Out!$D$6:$D$75,"R5",(Out!$G$6:$G$75))</f>
        <v>0</v>
      </c>
      <c r="M8" s="37">
        <f>SUMIF(Nov!$D$6:$D$75,"R5",(Nov!$G$6:$G$75))</f>
        <v>0</v>
      </c>
      <c r="N8" s="37">
        <f>SUMIF(Dez!$D$6:$D$75,"R5",(Dez!$G$6:$G$75))</f>
        <v>0</v>
      </c>
      <c r="O8" s="151">
        <f t="shared" si="0"/>
        <v>0</v>
      </c>
      <c r="P8" s="30"/>
    </row>
    <row r="9" spans="1:16" x14ac:dyDescent="0.3">
      <c r="A9" s="30"/>
      <c r="B9" s="94" t="str">
        <f>+Codigo!D9</f>
        <v>Outras Receitas</v>
      </c>
      <c r="C9" s="79">
        <f>SUMIF(Jan!$D$6:$D$75,"R6",(Jan!$G$6:$G$75))</f>
        <v>0</v>
      </c>
      <c r="D9" s="37">
        <f>SUMIF(Fev!$D$6:$D$75,"R6",(Fev!$G$6:$G$75))</f>
        <v>0</v>
      </c>
      <c r="E9" s="37">
        <f>SUMIF(Mar!$D$6:$D$75,"R6",(Mar!$G$6:$G$75))</f>
        <v>0</v>
      </c>
      <c r="F9" s="37">
        <f>SUMIF(Abr!$D$6:$D$75,"R6",(Abr!$G$6:$G$75))</f>
        <v>0</v>
      </c>
      <c r="G9" s="37">
        <f>SUMIF(Mai!$D$6:$D$75,"R6",(Mai!$G$6:$G$75))</f>
        <v>0</v>
      </c>
      <c r="H9" s="79">
        <f>SUMIF(Jun!$D$6:$D$75,"R6",(Jun!$G$6:$G$75))</f>
        <v>0</v>
      </c>
      <c r="I9" s="79">
        <f>SUMIF(Jul!$D$6:$D$75,"R6",(Jul!$G$6:$G$75))</f>
        <v>0</v>
      </c>
      <c r="J9" s="79">
        <f>SUMIF(Ago!$D$6:$D$75,"R6",(Ago!$G$6:$G$75))</f>
        <v>0</v>
      </c>
      <c r="K9" s="79">
        <f>SUMIF(Set!$D$6:$D$75,"R6",(Set!$G$6:$G$75))</f>
        <v>0</v>
      </c>
      <c r="L9" s="79">
        <f>SUMIF(Out!$D$6:$D$75,"R6",(Out!$G$6:$G$75))</f>
        <v>0</v>
      </c>
      <c r="M9" s="79">
        <f>SUMIF(Nov!$D$6:$D$75,"R6",(Nov!$G$6:$G$75))</f>
        <v>0</v>
      </c>
      <c r="N9" s="79">
        <f>SUMIF(Dez!$D$6:$D$75,"R6",(Dez!$G$6:$G$75))</f>
        <v>0</v>
      </c>
      <c r="O9" s="151">
        <f t="shared" si="0"/>
        <v>0</v>
      </c>
      <c r="P9" s="30"/>
    </row>
    <row r="10" spans="1:16" ht="15.6" x14ac:dyDescent="0.3">
      <c r="A10" s="30"/>
      <c r="B10" s="80" t="s">
        <v>11</v>
      </c>
      <c r="C10" s="81">
        <f>SUM(C4:C9)</f>
        <v>1000</v>
      </c>
      <c r="D10" s="81">
        <f t="shared" ref="D10:N10" si="1">SUM(D4:D9)</f>
        <v>0</v>
      </c>
      <c r="E10" s="81">
        <f t="shared" si="1"/>
        <v>0</v>
      </c>
      <c r="F10" s="81">
        <f t="shared" si="1"/>
        <v>0</v>
      </c>
      <c r="G10" s="81">
        <f t="shared" si="1"/>
        <v>0</v>
      </c>
      <c r="H10" s="81">
        <f t="shared" si="1"/>
        <v>0</v>
      </c>
      <c r="I10" s="81">
        <f t="shared" si="1"/>
        <v>0</v>
      </c>
      <c r="J10" s="81">
        <f t="shared" si="1"/>
        <v>0</v>
      </c>
      <c r="K10" s="81">
        <f t="shared" si="1"/>
        <v>0</v>
      </c>
      <c r="L10" s="81">
        <f t="shared" si="1"/>
        <v>0</v>
      </c>
      <c r="M10" s="81">
        <f t="shared" si="1"/>
        <v>0</v>
      </c>
      <c r="N10" s="81">
        <f t="shared" si="1"/>
        <v>750</v>
      </c>
      <c r="O10" s="95">
        <f>SUM(O4:O9)</f>
        <v>1750</v>
      </c>
      <c r="P10" s="30"/>
    </row>
    <row r="11" spans="1:16" ht="4.5" customHeight="1" x14ac:dyDescent="0.3"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8"/>
    </row>
    <row r="12" spans="1:16" ht="15" customHeight="1" x14ac:dyDescent="0.3">
      <c r="A12" s="31"/>
      <c r="B12" s="32" t="str">
        <f>+Codigo!G10</f>
        <v>Despesa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 t="s">
        <v>268</v>
      </c>
      <c r="P12" s="31"/>
    </row>
    <row r="13" spans="1:16" ht="15" customHeight="1" x14ac:dyDescent="0.3">
      <c r="A13" s="31"/>
      <c r="B13" s="98" t="str">
        <f>+Codigo!C10</f>
        <v>Alimentação</v>
      </c>
      <c r="C13" s="97">
        <f>SUM(C14:C18)</f>
        <v>1150</v>
      </c>
      <c r="D13" s="97">
        <f t="shared" ref="D13:N13" si="2">SUM(D14:D18)</f>
        <v>0</v>
      </c>
      <c r="E13" s="97">
        <f t="shared" si="2"/>
        <v>0</v>
      </c>
      <c r="F13" s="97">
        <f t="shared" si="2"/>
        <v>0</v>
      </c>
      <c r="G13" s="97">
        <f t="shared" si="2"/>
        <v>0</v>
      </c>
      <c r="H13" s="97">
        <f t="shared" si="2"/>
        <v>0</v>
      </c>
      <c r="I13" s="97">
        <f t="shared" si="2"/>
        <v>0</v>
      </c>
      <c r="J13" s="97">
        <f t="shared" si="2"/>
        <v>0</v>
      </c>
      <c r="K13" s="97">
        <f t="shared" si="2"/>
        <v>0</v>
      </c>
      <c r="L13" s="97">
        <f t="shared" si="2"/>
        <v>0</v>
      </c>
      <c r="M13" s="97">
        <f t="shared" si="2"/>
        <v>0</v>
      </c>
      <c r="N13" s="97">
        <f t="shared" si="2"/>
        <v>0</v>
      </c>
      <c r="O13" s="96">
        <f>SUM(O14:O18)</f>
        <v>1150</v>
      </c>
      <c r="P13" s="31"/>
    </row>
    <row r="14" spans="1:16" x14ac:dyDescent="0.3">
      <c r="A14" s="31"/>
      <c r="B14" s="28" t="str">
        <f>+Codigo!D10</f>
        <v>Supermercado</v>
      </c>
      <c r="C14" s="37">
        <f>SUMIF(Jan!$D$6:$D$75,"A1",(Jan!$G$6:$G$75))</f>
        <v>1150</v>
      </c>
      <c r="D14" s="37">
        <f>SUMIF(Fev!$D$6:$D$75,"A1",(Fev!$G$6:$G$75))</f>
        <v>0</v>
      </c>
      <c r="E14" s="37">
        <f>SUMIF(Mar!$D$6:$D$75,"A1",(Mar!$G$6:$G$75))</f>
        <v>0</v>
      </c>
      <c r="F14" s="37">
        <f>SUMIF(Abr!$D$6:$D$75,"A1",(Abr!$G$6:$G$75))</f>
        <v>0</v>
      </c>
      <c r="G14" s="37">
        <f>SUMIF(Mai!$D$6:$D$75,"A1",(Mai!$G$6:$G$75))</f>
        <v>0</v>
      </c>
      <c r="H14" s="37">
        <f>SUMIF(Jun!$D$6:$D$75,"A1",(Jun!$G$6:$G$75))</f>
        <v>0</v>
      </c>
      <c r="I14" s="37">
        <f>SUMIF(Jul!$D$6:$D$75,"A1",(Jul!$G$6:$G$75))</f>
        <v>0</v>
      </c>
      <c r="J14" s="37">
        <f>SUMIF(Ago!$D$6:$D$75,"A1",(Ago!$G$6:$G$75))</f>
        <v>0</v>
      </c>
      <c r="K14" s="37">
        <f>SUMIF(Set!$D$6:$D$75,"A1",(Set!$G$6:$G$75))</f>
        <v>0</v>
      </c>
      <c r="L14" s="37">
        <f>SUMIF(Out!$D$6:$D$75,"A1",(Out!$G$6:$G$75))</f>
        <v>0</v>
      </c>
      <c r="M14" s="37">
        <f>SUMIF(Nov!$D$6:$D$75,"A1",(Nov!$G$6:$G$75))</f>
        <v>0</v>
      </c>
      <c r="N14" s="37">
        <f>SUMIF(Dez!$D$6:$D$75,"A1",(Dez!$G$6:$G$75))</f>
        <v>0</v>
      </c>
      <c r="O14" s="150">
        <f>SUM(C14:N14)</f>
        <v>1150</v>
      </c>
      <c r="P14" s="31"/>
    </row>
    <row r="15" spans="1:16" x14ac:dyDescent="0.3">
      <c r="A15" s="31"/>
      <c r="B15" s="28" t="str">
        <f>+Codigo!D11</f>
        <v>Feira  / Sacolão</v>
      </c>
      <c r="C15" s="37">
        <f>SUMIF(Jan!$D$6:$D$75,"A2",(Jan!$G$6:$G$75))</f>
        <v>0</v>
      </c>
      <c r="D15" s="37">
        <f>SUMIF(Fev!$D$6:$D$75,"A2",(Fev!$G$6:$G$75))</f>
        <v>0</v>
      </c>
      <c r="E15" s="37">
        <f>SUMIF(Mar!$D$6:$D$75,"A2",(Mar!$G$6:$G$75))</f>
        <v>0</v>
      </c>
      <c r="F15" s="37">
        <f>SUMIF(Abr!$D$6:$D$75,"A2",(Abr!$G$6:$G$75))</f>
        <v>0</v>
      </c>
      <c r="G15" s="37">
        <f>SUMIF(Mai!$D$6:$D$75,"A2",(Mai!$G$6:$G$75))</f>
        <v>0</v>
      </c>
      <c r="H15" s="37">
        <f>SUMIF(Jun!$D$6:$D$75,"A2",(Jun!$G$6:$G$75))</f>
        <v>0</v>
      </c>
      <c r="I15" s="37">
        <f>SUMIF(Jul!$D$6:$D$75,"A2",(Jul!$G$6:$G$75))</f>
        <v>0</v>
      </c>
      <c r="J15" s="37">
        <f>SUMIF(Ago!$D$6:$D$75,"A2",(Ago!$G$6:$G$75))</f>
        <v>0</v>
      </c>
      <c r="K15" s="37">
        <f>SUMIF(Set!$D$6:$D$75,"A2",(Set!$G$6:$G$75))</f>
        <v>0</v>
      </c>
      <c r="L15" s="37">
        <f>SUMIF(Out!$D$6:$D$75,"A2",(Out!$G$6:$G$75))</f>
        <v>0</v>
      </c>
      <c r="M15" s="37">
        <f>SUMIF(Nov!$D$6:$D$75,"A2",(Nov!$G$6:$G$75))</f>
        <v>0</v>
      </c>
      <c r="N15" s="37">
        <f>SUMIF(Dez!$D$6:$D$75,"A2",(Dez!$G$6:$G$75))</f>
        <v>0</v>
      </c>
      <c r="O15" s="150">
        <f>SUM(C15:N15)</f>
        <v>0</v>
      </c>
      <c r="P15" s="31"/>
    </row>
    <row r="16" spans="1:16" x14ac:dyDescent="0.3">
      <c r="A16" s="31"/>
      <c r="B16" s="28" t="str">
        <f>+Codigo!D12</f>
        <v>Padaria</v>
      </c>
      <c r="C16" s="37">
        <f>SUMIF(Jan!$D$6:$D$75,"A3",(Jan!$G$6:$G$75))</f>
        <v>0</v>
      </c>
      <c r="D16" s="37">
        <f>SUMIF(Fev!$D$6:$D$75,"A3",(Fev!$G$6:$G$75))</f>
        <v>0</v>
      </c>
      <c r="E16" s="37">
        <f>SUMIF(Mar!$D$6:$D$75,"A3",(Mar!$G$6:$G$75))</f>
        <v>0</v>
      </c>
      <c r="F16" s="37">
        <f>SUMIF(Abr!$D$6:$D$75,"A3",(Abr!$G$6:$G$75))</f>
        <v>0</v>
      </c>
      <c r="G16" s="37">
        <f>SUMIF(Mai!$D$6:$D$75,"A3",(Mai!$G$6:$G$75))</f>
        <v>0</v>
      </c>
      <c r="H16" s="37">
        <f>SUMIF(Jun!$D$6:$D$75,"A3",(Jun!$G$6:$G$75))</f>
        <v>0</v>
      </c>
      <c r="I16" s="37">
        <f>SUMIF(Jul!$D$6:$D$75,"A3",(Jul!$G$6:$G$75))</f>
        <v>0</v>
      </c>
      <c r="J16" s="37">
        <f>SUMIF(Ago!$D$6:$D$75,"A3",(Ago!$G$6:$G$75))</f>
        <v>0</v>
      </c>
      <c r="K16" s="37">
        <f>SUMIF(Set!$D$6:$D$75,"A3",(Set!$G$6:$G$75))</f>
        <v>0</v>
      </c>
      <c r="L16" s="37">
        <f>SUMIF(Out!$D$6:$D$75,"A3",(Out!$G$6:$G$75))</f>
        <v>0</v>
      </c>
      <c r="M16" s="37">
        <f>SUMIF(Nov!$D$6:$D$75,"A3",(Nov!$G$6:$G$75))</f>
        <v>0</v>
      </c>
      <c r="N16" s="37">
        <f>SUMIF(Dez!$D$6:$D$75,"A3",(Dez!$G$6:$G$75))</f>
        <v>0</v>
      </c>
      <c r="O16" s="150">
        <f>SUM(C16:N16)</f>
        <v>0</v>
      </c>
      <c r="P16" s="31"/>
    </row>
    <row r="17" spans="1:16" x14ac:dyDescent="0.3">
      <c r="A17" s="31"/>
      <c r="B17" s="28" t="str">
        <f>+Codigo!D13</f>
        <v>Refeição fora de casa</v>
      </c>
      <c r="C17" s="37">
        <f>SUMIF(Jan!$D$6:$D$75,"A4",(Jan!$G$6:$G$75))</f>
        <v>0</v>
      </c>
      <c r="D17" s="37">
        <f>SUMIF(Fev!$D$6:$D$75,"A4",(Fev!$G$6:$G$75))</f>
        <v>0</v>
      </c>
      <c r="E17" s="37">
        <f>SUMIF(Mar!$D$6:$D$75,"A4",(Mar!$G$6:$G$75))</f>
        <v>0</v>
      </c>
      <c r="F17" s="37">
        <f>SUMIF(Abr!$D$6:$D$75,"A4",(Abr!$G$6:$G$75))</f>
        <v>0</v>
      </c>
      <c r="G17" s="37">
        <f>SUMIF(Mai!$D$6:$D$75,"A4",(Mai!$G$6:$G$75))</f>
        <v>0</v>
      </c>
      <c r="H17" s="37">
        <f>SUMIF(Jun!$D$6:$D$75,"A4",(Jun!$G$6:$G$75))</f>
        <v>0</v>
      </c>
      <c r="I17" s="37">
        <f>SUMIF(Jul!$D$6:$D$75,"A4",(Jul!$G$6:$G$75))</f>
        <v>0</v>
      </c>
      <c r="J17" s="37">
        <f>SUMIF(Ago!$D$6:$D$75,"A4",(Ago!$G$6:$G$75))</f>
        <v>0</v>
      </c>
      <c r="K17" s="37">
        <f>SUMIF(Set!$D$6:$D$75,"A4",(Set!$G$6:$G$75))</f>
        <v>0</v>
      </c>
      <c r="L17" s="37">
        <f>SUMIF(Out!$D$6:$D$75,"A4",(Out!$G$6:$G$75))</f>
        <v>0</v>
      </c>
      <c r="M17" s="37">
        <f>SUMIF(Nov!$D$6:$D$75,"A4",(Nov!$G$6:$G$75))</f>
        <v>0</v>
      </c>
      <c r="N17" s="37">
        <f>SUMIF(Dez!$D$6:$D$75,"A4",(Dez!$G$6:$G$75))</f>
        <v>0</v>
      </c>
      <c r="O17" s="150">
        <f>SUM(C17:N17)</f>
        <v>0</v>
      </c>
      <c r="P17" s="31"/>
    </row>
    <row r="18" spans="1:16" x14ac:dyDescent="0.3">
      <c r="A18" s="31"/>
      <c r="B18" s="28" t="str">
        <f>+Codigo!D14</f>
        <v>Outros (café, água, sorvetes, etc)</v>
      </c>
      <c r="C18" s="37">
        <f>SUMIF(Jan!$D$6:$D$75,"A5",(Jan!$G$6:$G$75))</f>
        <v>0</v>
      </c>
      <c r="D18" s="37">
        <f>SUMIF(Fev!$D$6:$D$75,"A5",(Fev!$G$6:$G$75))</f>
        <v>0</v>
      </c>
      <c r="E18" s="37">
        <f>SUMIF(Mar!$D$6:$D$75,"A5",(Mar!$G$6:$G$75))</f>
        <v>0</v>
      </c>
      <c r="F18" s="37">
        <f>SUMIF(Abr!$D$6:$D$75,"A5",(Abr!G$6:$G$75))</f>
        <v>0</v>
      </c>
      <c r="G18" s="37">
        <f>SUMIF(Mai!$D$6:$D$75,"A5",(Mai!$G$6:$G$75))</f>
        <v>0</v>
      </c>
      <c r="H18" s="37">
        <f>SUMIF(Jun!$D$6:$D$75,"A5",(Jun!$G$6:$G$75))</f>
        <v>0</v>
      </c>
      <c r="I18" s="37">
        <f>SUMIF(Jul!$D$6:$D$75,"A5",(Jul!$G$6:$G$75))</f>
        <v>0</v>
      </c>
      <c r="J18" s="37">
        <f>SUMIF(Ago!$D$6:$D$75,"A5",(Ago!$G$6:$G$75))</f>
        <v>0</v>
      </c>
      <c r="K18" s="37">
        <f>SUMIF(Set!$D$6:$D$75,"A5",(Set!$G$6:$G$75))</f>
        <v>0</v>
      </c>
      <c r="L18" s="37">
        <f>SUMIF(Out!$D$6:$D$75,"A5",(Out!$G$6:$G$75))</f>
        <v>0</v>
      </c>
      <c r="M18" s="37">
        <f>SUMIF(Nov!$D$6:$D$75,"A5",(Nov!$G$6:$G$75))</f>
        <v>0</v>
      </c>
      <c r="N18" s="37">
        <f>SUMIF(Dez!$D$6:$D$75,"A5",(Dez!$G$6:$G$75))</f>
        <v>0</v>
      </c>
      <c r="O18" s="150">
        <f>SUM(C18:N18)</f>
        <v>0</v>
      </c>
      <c r="P18" s="31"/>
    </row>
    <row r="19" spans="1:16" ht="15" customHeight="1" x14ac:dyDescent="0.3">
      <c r="A19" s="31"/>
      <c r="B19" s="98" t="str">
        <f>+Codigo!C15</f>
        <v>Moradia</v>
      </c>
      <c r="C19" s="97">
        <f>SUM(C20:C31)</f>
        <v>0</v>
      </c>
      <c r="D19" s="97">
        <f t="shared" ref="D19:O19" si="3">SUM(D20:D31)</f>
        <v>0</v>
      </c>
      <c r="E19" s="97">
        <f t="shared" si="3"/>
        <v>0</v>
      </c>
      <c r="F19" s="97">
        <f t="shared" si="3"/>
        <v>0</v>
      </c>
      <c r="G19" s="97">
        <f t="shared" si="3"/>
        <v>0</v>
      </c>
      <c r="H19" s="97">
        <f t="shared" si="3"/>
        <v>0</v>
      </c>
      <c r="I19" s="97">
        <f t="shared" si="3"/>
        <v>0</v>
      </c>
      <c r="J19" s="97">
        <f t="shared" si="3"/>
        <v>0</v>
      </c>
      <c r="K19" s="97">
        <f t="shared" si="3"/>
        <v>0</v>
      </c>
      <c r="L19" s="97">
        <f t="shared" si="3"/>
        <v>0</v>
      </c>
      <c r="M19" s="97">
        <f t="shared" si="3"/>
        <v>0</v>
      </c>
      <c r="N19" s="97">
        <f t="shared" si="3"/>
        <v>0</v>
      </c>
      <c r="O19" s="97">
        <f t="shared" si="3"/>
        <v>0</v>
      </c>
      <c r="P19" s="31"/>
    </row>
    <row r="20" spans="1:16" x14ac:dyDescent="0.3">
      <c r="A20" s="31"/>
      <c r="B20" s="28" t="str">
        <f>+Codigo!D15</f>
        <v>Prestação /Aluguel de imóvel</v>
      </c>
      <c r="C20" s="37">
        <f>SUMIF(Jan!$D$6:$D$75,"M1",(Jan!$G$6:$G$75))</f>
        <v>0</v>
      </c>
      <c r="D20" s="37">
        <f>SUMIF(Fev!$D$6:$D$75,"m1",(Fev!$G$6:$G$75))</f>
        <v>0</v>
      </c>
      <c r="E20" s="37">
        <f>SUMIF(Mar!$D$6:$D$75,"m1",(Mar!$G$6:$G$75))</f>
        <v>0</v>
      </c>
      <c r="F20" s="37">
        <f>SUMIF(Abr!$D$6:$D$75,"m1",(Abr!G$6:$G$75))</f>
        <v>0</v>
      </c>
      <c r="G20" s="37">
        <f>SUMIF(Mai!$D$6:$D$75,"m1",(Mai!$G$6:$G$75))</f>
        <v>0</v>
      </c>
      <c r="H20" s="37">
        <f>SUMIF(Jun!$D$6:$D$75,"M1",(Jun!$G$6:$G$75))</f>
        <v>0</v>
      </c>
      <c r="I20" s="37">
        <f>SUMIF(Jul!$D$6:$D$75,"M1",(Jul!$G$6:$G$75))</f>
        <v>0</v>
      </c>
      <c r="J20" s="37">
        <f>SUMIF(Ago!$D$6:$D$75,"M1",(Ago!$G$6:$G$75))</f>
        <v>0</v>
      </c>
      <c r="K20" s="37">
        <f>SUMIF(Set!$D$6:$D$75,"M1",(Set!$G$6:$G$75))</f>
        <v>0</v>
      </c>
      <c r="L20" s="37">
        <f>SUMIF(Out!$D$6:$D$75,"M1",(Out!$G$6:$G$75))</f>
        <v>0</v>
      </c>
      <c r="M20" s="37">
        <f>SUMIF(Nov!$D$6:$D$75,"M1",(Nov!$G$6:$G$75))</f>
        <v>0</v>
      </c>
      <c r="N20" s="37">
        <f>SUMIF(Dez!$D$6:$D$75,"M1",(Dez!$G$6:$G$75))</f>
        <v>0</v>
      </c>
      <c r="O20" s="150">
        <f>SUM(C20:N20)</f>
        <v>0</v>
      </c>
      <c r="P20" s="31"/>
    </row>
    <row r="21" spans="1:16" x14ac:dyDescent="0.3">
      <c r="A21" s="31"/>
      <c r="B21" s="28" t="str">
        <f>+Codigo!D16</f>
        <v>Condomínio</v>
      </c>
      <c r="C21" s="37">
        <f>SUMIF(Jan!$D$6:$D$75,"M2",(Jan!$G$6:$G$75))</f>
        <v>0</v>
      </c>
      <c r="D21" s="37">
        <f>SUMIF(Fev!$D$6:$D$75,"M2",(Fev!$G$6:$G$75))</f>
        <v>0</v>
      </c>
      <c r="E21" s="37">
        <f>SUMIF(Mar!$D$6:$D$75,"m2",(Mar!$G$6:$G$75))</f>
        <v>0</v>
      </c>
      <c r="F21" s="37">
        <f>SUMIF(Abr!$D$6:$D$75,"m2",(Abr!G$6:$G$75))</f>
        <v>0</v>
      </c>
      <c r="G21" s="37">
        <f>SUMIF(Mai!$D$6:$D$75,"M2",(Mai!$G$6:$G$75))</f>
        <v>0</v>
      </c>
      <c r="H21" s="37">
        <f>SUMIF(Jun!$D$6:$D$75,"M2",(Jun!$G$6:$G$75))</f>
        <v>0</v>
      </c>
      <c r="I21" s="37">
        <f>SUMIF(Jul!$D$6:$D$75,"M2",(Jul!$G$6:$G$75))</f>
        <v>0</v>
      </c>
      <c r="J21" s="37">
        <f>SUMIF(Ago!$D$6:$D$75,"M2",(Ago!$G$6:$G$75))</f>
        <v>0</v>
      </c>
      <c r="K21" s="37">
        <f>SUMIF(Set!$D$6:$D$75,"M2",(Set!$G$6:$G$75))</f>
        <v>0</v>
      </c>
      <c r="L21" s="37">
        <f>SUMIF(Out!$D$6:$D$75,"M2",(Out!$G$6:$G$75))</f>
        <v>0</v>
      </c>
      <c r="M21" s="37">
        <f>SUMIF(Nov!$D$6:$D$75,"M2",(Nov!$G$6:$G$75))</f>
        <v>0</v>
      </c>
      <c r="N21" s="37">
        <f>SUMIF(Dez!$D$6:$D$75,"M2",(Dez!$G$6:$G$75))</f>
        <v>0</v>
      </c>
      <c r="O21" s="151">
        <f t="shared" ref="O21:O31" si="4">SUM(C21:N21)</f>
        <v>0</v>
      </c>
      <c r="P21" s="31"/>
    </row>
    <row r="22" spans="1:16" x14ac:dyDescent="0.3">
      <c r="A22" s="31"/>
      <c r="B22" s="28" t="str">
        <f>+Codigo!D17</f>
        <v>Consumo de água</v>
      </c>
      <c r="C22" s="37">
        <f>SUMIF(Jan!$D$6:$D$75,"M3",(Jan!$G$6:$G$75))</f>
        <v>0</v>
      </c>
      <c r="D22" s="37">
        <f>SUMIF(Fev!$D$6:$D$75,"M3",(Fev!$G$6:$G$75))</f>
        <v>0</v>
      </c>
      <c r="E22" s="37">
        <f>SUMIF(Mar!$D$6:$D$75,"m3",(Mar!$G$6:$G$75))</f>
        <v>0</v>
      </c>
      <c r="F22" s="37">
        <f>SUMIF(Abr!$D$6:$D$75,"m3",(Abr!G$6:$G$75))</f>
        <v>0</v>
      </c>
      <c r="G22" s="37">
        <f>SUMIF(Mai!$D$6:$D$75,"m3",(Mai!$G$6:$G$75))</f>
        <v>0</v>
      </c>
      <c r="H22" s="37">
        <f>SUMIF(Jun!$D$6:$D$75,"M3",(Jun!$G$6:$G$75))</f>
        <v>0</v>
      </c>
      <c r="I22" s="37">
        <f>SUMIF(Jul!$D$6:$D$75,"M3",(Jul!$G$6:$G$75))</f>
        <v>0</v>
      </c>
      <c r="J22" s="37">
        <f>SUMIF(Ago!$D$6:$D$75,"M3",(Ago!$G$6:$G$75))</f>
        <v>0</v>
      </c>
      <c r="K22" s="37">
        <f>SUMIF(Set!$D$6:$D$75,"M3",(Set!$G$6:$G$75))</f>
        <v>0</v>
      </c>
      <c r="L22" s="37">
        <f>SUMIF(Out!$D$6:$D$75,"M3",(Out!$G$6:$G$75))</f>
        <v>0</v>
      </c>
      <c r="M22" s="37">
        <f>SUMIF(Nov!$D$6:$D$75,"M3",(Nov!$G$6:$G$75))</f>
        <v>0</v>
      </c>
      <c r="N22" s="37">
        <f>SUMIF(Dez!$D$6:$D$75,"M3",(Dez!$G$6:$G$75))</f>
        <v>0</v>
      </c>
      <c r="O22" s="151">
        <f t="shared" si="4"/>
        <v>0</v>
      </c>
      <c r="P22" s="31"/>
    </row>
    <row r="23" spans="1:16" x14ac:dyDescent="0.3">
      <c r="A23" s="31"/>
      <c r="B23" s="28" t="str">
        <f>+Codigo!D18</f>
        <v>Serviço de limpeza( diarista ou mensalista)</v>
      </c>
      <c r="C23" s="37">
        <f>SUMIF(Jan!$D$6:$D$75,"M4",(Jan!$G$6:$G$75))</f>
        <v>0</v>
      </c>
      <c r="D23" s="37">
        <f>SUMIF(Fev!$D$6:$D$75,"M4",(Fev!$G$6:$G$75))</f>
        <v>0</v>
      </c>
      <c r="E23" s="37">
        <f>SUMIF(Mar!$D$6:$D$75,"m4",(Mar!$G$6:$G$75))</f>
        <v>0</v>
      </c>
      <c r="F23" s="37">
        <f>SUMIF(Abr!$D$6:$D$75,"m4",(Abr!G$6:$G$75))</f>
        <v>0</v>
      </c>
      <c r="G23" s="37">
        <f>SUMIF(Mai!$D$6:$D$75,"m4",(Mai!$G$6:$G$75))</f>
        <v>0</v>
      </c>
      <c r="H23" s="37">
        <f>SUMIF(Jun!$D$6:$D$75,"M4",(Jun!$G$6:$G$75))</f>
        <v>0</v>
      </c>
      <c r="I23" s="37">
        <f>SUMIF(Jul!$D$6:$D$75,"M4",(Jul!$G$6:$G$75))</f>
        <v>0</v>
      </c>
      <c r="J23" s="37">
        <f>SUMIF(Ago!$D$6:$D$75,"M4",(Ago!$G$6:$G$75))</f>
        <v>0</v>
      </c>
      <c r="K23" s="37">
        <f>SUMIF(Set!$D$6:$D$75,"M4",(Set!$G$6:$G$75))</f>
        <v>0</v>
      </c>
      <c r="L23" s="37">
        <f>SUMIF(Out!$D$6:$D$75,"M4",(Out!$G$6:$G$75))</f>
        <v>0</v>
      </c>
      <c r="M23" s="37">
        <f>SUMIF(Nov!$D$6:$D$75,"M4",(Nov!$G$6:$G$75))</f>
        <v>0</v>
      </c>
      <c r="N23" s="37">
        <f>SUMIF(Dez!$D$6:$D$75,"M4",(Dez!$G$6:$G$75))</f>
        <v>0</v>
      </c>
      <c r="O23" s="151">
        <f t="shared" si="4"/>
        <v>0</v>
      </c>
      <c r="P23" s="31"/>
    </row>
    <row r="24" spans="1:16" x14ac:dyDescent="0.3">
      <c r="A24" s="31"/>
      <c r="B24" s="28" t="str">
        <f>+Codigo!D19</f>
        <v>Energia Elétrica</v>
      </c>
      <c r="C24" s="37">
        <f>SUMIF(Jan!$D$6:$D$75,"M5",(Jan!$G$6:$G$75))</f>
        <v>0</v>
      </c>
      <c r="D24" s="37">
        <f>SUMIF(Fev!$D$6:$D$75,"M5",(Fev!$G$6:$G$75))</f>
        <v>0</v>
      </c>
      <c r="E24" s="37">
        <f>SUMIF(Mar!$D$6:$D$75,"m5",(Mar!$G$6:$G$75))</f>
        <v>0</v>
      </c>
      <c r="F24" s="37">
        <f>SUMIF(Abr!$D$6:$D$75,"m5",(Abr!G$6:$G$75))</f>
        <v>0</v>
      </c>
      <c r="G24" s="37">
        <f>SUMIF(Mai!$D$6:$D$75,"m5",(Mai!$G$6:$G$75))</f>
        <v>0</v>
      </c>
      <c r="H24" s="37">
        <f>SUMIF(Jun!$D$6:$D$75,"M5",(Jun!$G$6:$G$75))</f>
        <v>0</v>
      </c>
      <c r="I24" s="37">
        <f>SUMIF(Jul!$D$6:$D$75,"M5",(Jul!$G$6:$G$75))</f>
        <v>0</v>
      </c>
      <c r="J24" s="37">
        <f>SUMIF(Ago!$D$6:$D$75,"M5",(Ago!$G$6:$G$75))</f>
        <v>0</v>
      </c>
      <c r="K24" s="37">
        <f>SUMIF(Set!$D$6:$D$75,"M5",(Set!$G$6:$G$75))</f>
        <v>0</v>
      </c>
      <c r="L24" s="37">
        <f>SUMIF(Out!$D$6:$D$75,"M5",(Out!$G$6:$G$75))</f>
        <v>0</v>
      </c>
      <c r="M24" s="37">
        <f>SUMIF(Nov!$D$6:$D$75,"M5",(Nov!$G$6:$G$75))</f>
        <v>0</v>
      </c>
      <c r="N24" s="37">
        <f>SUMIF(Dez!$D$6:$D$75,"M5",(Dez!$G$6:$G$75))</f>
        <v>0</v>
      </c>
      <c r="O24" s="151">
        <f t="shared" si="4"/>
        <v>0</v>
      </c>
      <c r="P24" s="31"/>
    </row>
    <row r="25" spans="1:16" x14ac:dyDescent="0.3">
      <c r="A25" s="31"/>
      <c r="B25" s="28" t="str">
        <f>+Codigo!D20</f>
        <v>Gás</v>
      </c>
      <c r="C25" s="37">
        <f>SUMIF(Jan!$D$6:$D$75,"M6",(Jan!$G$6:$G$75))</f>
        <v>0</v>
      </c>
      <c r="D25" s="37">
        <f>SUMIF(Fev!$D$6:$D$75,"M6",(Fev!$G$6:$G$75))</f>
        <v>0</v>
      </c>
      <c r="E25" s="37">
        <f>SUMIF(Mar!$D$6:$D$75,"m6",(Mar!$G$6:$G$75))</f>
        <v>0</v>
      </c>
      <c r="F25" s="37">
        <f>SUMIF(Abr!$D$6:$D$75,"m6",(Abr!G$6:$G$75))</f>
        <v>0</v>
      </c>
      <c r="G25" s="37">
        <f>SUMIF(Mai!$D$6:$D$75,"m6",(Mai!$G$6:$G$75))</f>
        <v>0</v>
      </c>
      <c r="H25" s="37">
        <f>SUMIF(Jun!$D$6:$D$75,"M6",(Jun!$G$6:$G$75))</f>
        <v>0</v>
      </c>
      <c r="I25" s="37">
        <f>SUMIF(Jul!$D$6:$D$75,"M6",(Jul!$G$6:$G$75))</f>
        <v>0</v>
      </c>
      <c r="J25" s="37">
        <f>SUMIF(Ago!$D$6:$D$75,"M6",(Ago!$G$6:$G$75))</f>
        <v>0</v>
      </c>
      <c r="K25" s="37">
        <f>SUMIF(Set!$D$6:$D$75,"M6",(Set!$G$6:$G$75))</f>
        <v>0</v>
      </c>
      <c r="L25" s="37">
        <f>SUMIF(Out!$D$6:$D$75,"M6",(Out!$G$6:$G$75))</f>
        <v>0</v>
      </c>
      <c r="M25" s="37">
        <f>SUMIF(Nov!$D$6:$D$75,"M6",(Nov!$G$6:$G$75))</f>
        <v>0</v>
      </c>
      <c r="N25" s="37">
        <f>SUMIF(Dez!$D$6:$D$75,"M6",(Dez!$G$6:$G$75))</f>
        <v>0</v>
      </c>
      <c r="O25" s="151">
        <f t="shared" si="4"/>
        <v>0</v>
      </c>
      <c r="P25" s="31"/>
    </row>
    <row r="26" spans="1:16" x14ac:dyDescent="0.3">
      <c r="A26" s="31"/>
      <c r="B26" s="28" t="str">
        <f>+Codigo!D21</f>
        <v>IPTU</v>
      </c>
      <c r="C26" s="37">
        <f>SUMIF(Jan!$D$6:$D$75,"M7",(Jan!$G$6:$G$75))</f>
        <v>0</v>
      </c>
      <c r="D26" s="37">
        <f>SUMIF(Fev!$D$6:$D$75,"M7",(Fev!$G$6:$G$75))</f>
        <v>0</v>
      </c>
      <c r="E26" s="37">
        <f>SUMIF(Mar!$D$6:$D$75,"m7",(Mar!$G$6:$G$75))</f>
        <v>0</v>
      </c>
      <c r="F26" s="37">
        <f>SUMIF(Abr!$D$6:$D$75,"m7",(Abr!G$6:$G$75))</f>
        <v>0</v>
      </c>
      <c r="G26" s="37">
        <f>SUMIF(Mai!$D$6:$D$75,"m7",(Mai!$G$6:$G$75))</f>
        <v>0</v>
      </c>
      <c r="H26" s="37">
        <f>SUMIF(Jun!$D$6:$D$75,"M7",(Jun!$G$6:$G$75))</f>
        <v>0</v>
      </c>
      <c r="I26" s="37">
        <f>SUMIF(Jul!$D$6:$D$75,"M7",(Jul!$G$6:$G$75))</f>
        <v>0</v>
      </c>
      <c r="J26" s="37">
        <f>SUMIF(Ago!$D$6:$D$75,"M7",(Ago!$G$6:$G$75))</f>
        <v>0</v>
      </c>
      <c r="K26" s="37">
        <f>SUMIF(Set!$D$6:$D$75,"M7",(Set!$G$6:$G$75))</f>
        <v>0</v>
      </c>
      <c r="L26" s="37">
        <f>SUMIF(Out!$D$6:$D$75,"M7",(Out!$G$6:$G$75))</f>
        <v>0</v>
      </c>
      <c r="M26" s="37">
        <f>SUMIF(Nov!$D$6:$D$75,"M7",(Nov!$G$6:$G$75))</f>
        <v>0</v>
      </c>
      <c r="N26" s="37">
        <f>SUMIF(Dez!$D$6:$D$75,"M7",(Dez!$G$6:$G$75))</f>
        <v>0</v>
      </c>
      <c r="O26" s="151">
        <f t="shared" si="4"/>
        <v>0</v>
      </c>
      <c r="P26" s="31"/>
    </row>
    <row r="27" spans="1:16" x14ac:dyDescent="0.3">
      <c r="A27" s="31"/>
      <c r="B27" s="28" t="str">
        <f>+Codigo!D22</f>
        <v>Decoração da casa</v>
      </c>
      <c r="C27" s="37">
        <f>SUMIF(Jan!$D$6:$D$75,"M8",(Jan!$G$6:$G$75))</f>
        <v>0</v>
      </c>
      <c r="D27" s="37">
        <f>SUMIF(Fev!$D$6:$D$75,"M8",(Fev!$G$6:$G$75))</f>
        <v>0</v>
      </c>
      <c r="E27" s="37">
        <f>SUMIF(Mar!$D$6:$D$75,"m8",(Mar!$G$6:$G$75))</f>
        <v>0</v>
      </c>
      <c r="F27" s="37">
        <f>SUMIF(Abr!$D$6:$D$75,"m8",(Abr!G$6:$G$75))</f>
        <v>0</v>
      </c>
      <c r="G27" s="37">
        <f>SUMIF(Mai!$D$6:$D$75,"m8",(Mai!$G$6:$G$75))</f>
        <v>0</v>
      </c>
      <c r="H27" s="37">
        <f>SUMIF(Jun!$D$6:$D$75,"M8",(Jun!$G$6:$G$75))</f>
        <v>0</v>
      </c>
      <c r="I27" s="37">
        <f>SUMIF(Jul!$D$6:$D$75,"M8",(Jul!$G$6:$G$75))</f>
        <v>0</v>
      </c>
      <c r="J27" s="37">
        <f>SUMIF(Ago!$D$6:$D$75,"M8",(Ago!$G$6:$G$75))</f>
        <v>0</v>
      </c>
      <c r="K27" s="37">
        <f>SUMIF(Set!$D$6:$D$75,"M8",(Set!$G$6:$G$75))</f>
        <v>0</v>
      </c>
      <c r="L27" s="37">
        <f>SUMIF(Out!$D$6:$D$75,"M8",(Out!$G$6:$G$75))</f>
        <v>0</v>
      </c>
      <c r="M27" s="37">
        <f>SUMIF(Nov!$D$6:$D$75,"M8",(Nov!$G$6:$G$75))</f>
        <v>0</v>
      </c>
      <c r="N27" s="37">
        <f>SUMIF(Dez!$D$6:$D$75,"M8",(Dez!$G$6:$G$75))</f>
        <v>0</v>
      </c>
      <c r="O27" s="151">
        <f t="shared" si="4"/>
        <v>0</v>
      </c>
      <c r="P27" s="31"/>
    </row>
    <row r="28" spans="1:16" x14ac:dyDescent="0.3">
      <c r="A28" s="31"/>
      <c r="B28" s="28" t="str">
        <f>+Codigo!D23</f>
        <v>Manutenção / Reforma da casa</v>
      </c>
      <c r="C28" s="37">
        <f>SUMIF(Jan!$D$6:$D$75,"M9",(Jan!$G$6:$G$75))</f>
        <v>0</v>
      </c>
      <c r="D28" s="37">
        <f>SUMIF(Fev!$D$6:$D$75,"M9",(Fev!$G$6:$G$75))</f>
        <v>0</v>
      </c>
      <c r="E28" s="37">
        <f>SUMIF(Mar!$D$6:$D$75,"m9",(Mar!$G$6:$G$75))</f>
        <v>0</v>
      </c>
      <c r="F28" s="37">
        <f>SUMIF(Abr!$D$6:$D$75,"m9",(Abr!G$6:$G$75))</f>
        <v>0</v>
      </c>
      <c r="G28" s="37">
        <f>SUMIF(Mai!$D$6:$D$75,"m9",(Mai!$G$6:$G$75))</f>
        <v>0</v>
      </c>
      <c r="H28" s="37">
        <f>SUMIF(Jun!$D$6:$D$75,"M9",(Jun!$G$6:$G$75))</f>
        <v>0</v>
      </c>
      <c r="I28" s="37">
        <f>SUMIF(Jul!$D$6:$D$75,"M9",(Jul!$G$6:$G$75))</f>
        <v>0</v>
      </c>
      <c r="J28" s="37">
        <f>SUMIF(Ago!$D$6:$D$75,"M9",(Ago!$G$6:$G$75))</f>
        <v>0</v>
      </c>
      <c r="K28" s="37">
        <f>SUMIF(Set!$D$6:$D$75,"M9",(Set!$G$6:$G$75))</f>
        <v>0</v>
      </c>
      <c r="L28" s="37">
        <f>SUMIF(Out!$D$6:$D$75,"M9",(Out!$G$6:$G$75))</f>
        <v>0</v>
      </c>
      <c r="M28" s="37">
        <f>SUMIF(Nov!$D$6:$D$75,"M9",(Nov!$G$6:$G$75))</f>
        <v>0</v>
      </c>
      <c r="N28" s="37">
        <f>SUMIF(Dez!$D$6:$D$75,"M9",(Dez!$G$6:$G$75))</f>
        <v>0</v>
      </c>
      <c r="O28" s="151">
        <f t="shared" si="4"/>
        <v>0</v>
      </c>
      <c r="P28" s="31"/>
    </row>
    <row r="29" spans="1:16" x14ac:dyDescent="0.3">
      <c r="A29" s="31"/>
      <c r="B29" s="28" t="str">
        <f>+Codigo!D24</f>
        <v>Celular</v>
      </c>
      <c r="C29" s="37">
        <f>SUMIF(Jan!$D$6:$D$75,"M10",(Jan!$G$6:$G$75))</f>
        <v>0</v>
      </c>
      <c r="D29" s="37">
        <f>SUMIF(Fev!$D$6:$D$75,"M10",(Fev!$G$6:$G$75))</f>
        <v>0</v>
      </c>
      <c r="E29" s="37">
        <f>SUMIF(Mar!$D$6:$D$75,"m10",(Mar!$G$6:$G$75))</f>
        <v>0</v>
      </c>
      <c r="F29" s="37">
        <f>SUMIF(Abr!$D$6:$D$75,"m10",(Abr!G$6:$G$75))</f>
        <v>0</v>
      </c>
      <c r="G29" s="37">
        <f>SUMIF(Mai!$D$6:$D$75,"m10",(Mai!$G$6:$G$75))</f>
        <v>0</v>
      </c>
      <c r="H29" s="37">
        <f>SUMIF(Jun!$D$6:$D$75,"M10",(Jun!$G$6:$G$75))</f>
        <v>0</v>
      </c>
      <c r="I29" s="37">
        <f>SUMIF(Jul!$D$6:$D$75,"M10",(Jul!$G$6:$G$75))</f>
        <v>0</v>
      </c>
      <c r="J29" s="37">
        <f>SUMIF(Ago!$D$6:$D$75,"M10",(Ago!$G$6:$G$75))</f>
        <v>0</v>
      </c>
      <c r="K29" s="37">
        <f>SUMIF(Set!$D$6:$D$75,"M10",(Set!$G$6:$G$75))</f>
        <v>0</v>
      </c>
      <c r="L29" s="37">
        <f>SUMIF(Out!$D$6:$D$75,"M10",(Out!$G$6:$G$75))</f>
        <v>0</v>
      </c>
      <c r="M29" s="37">
        <f>SUMIF(Nov!$D$6:$D$75,"M10",(Nov!$G$6:$G$75))</f>
        <v>0</v>
      </c>
      <c r="N29" s="37">
        <f>SUMIF(Dez!$D$6:$D$75,"M10",(Dez!$G$6:$G$75))</f>
        <v>0</v>
      </c>
      <c r="O29" s="151">
        <f t="shared" si="4"/>
        <v>0</v>
      </c>
      <c r="P29" s="31"/>
    </row>
    <row r="30" spans="1:16" x14ac:dyDescent="0.3">
      <c r="A30" s="31"/>
      <c r="B30" s="28" t="str">
        <f>+Codigo!D25</f>
        <v>Telefone fixo</v>
      </c>
      <c r="C30" s="37">
        <f>SUMIF(Jan!$D$6:$D$75,"M11",(Jan!$G$6:$G$75))</f>
        <v>0</v>
      </c>
      <c r="D30" s="37">
        <f>SUMIF(Fev!$D$6:$D$75,"M11",(Fev!$G$6:$G$75))</f>
        <v>0</v>
      </c>
      <c r="E30" s="37">
        <f>SUMIF(Mar!$D$6:$D$75,"m11",(Mar!$G$6:$G$75))</f>
        <v>0</v>
      </c>
      <c r="F30" s="37">
        <f>SUMIF(Abr!$D$6:$D$75,"m11",(Abr!G$6:$G$75))</f>
        <v>0</v>
      </c>
      <c r="G30" s="37">
        <f>SUMIF(Mai!$D$6:$D$75,"m11",(Mai!$G$6:$G$75))</f>
        <v>0</v>
      </c>
      <c r="H30" s="37">
        <f>SUMIF(Jun!$D$6:$D$75,"M11",(Jun!$G$6:$G$75))</f>
        <v>0</v>
      </c>
      <c r="I30" s="37">
        <f>SUMIF(Jul!$D$6:$D$75,"M11",(Jul!$G$6:$G$75))</f>
        <v>0</v>
      </c>
      <c r="J30" s="37">
        <f>SUMIF(Ago!$D$6:$D$75,"M11",(Ago!$G$6:$G$75))</f>
        <v>0</v>
      </c>
      <c r="K30" s="37">
        <f>SUMIF(Set!$D$6:$D$75,"M11",(Set!$G$6:$G$75))</f>
        <v>0</v>
      </c>
      <c r="L30" s="37">
        <f>SUMIF(Out!$D$6:$D$75,"M11",(Out!$G$6:$G$75))</f>
        <v>0</v>
      </c>
      <c r="M30" s="37">
        <f>SUMIF(Nov!$D$6:$D$75,"M11",(Nov!$G$6:$G$75))</f>
        <v>0</v>
      </c>
      <c r="N30" s="37">
        <f>SUMIF(Dez!$D$6:$D$75,"M11",(Dez!$G$6:$G$75))</f>
        <v>0</v>
      </c>
      <c r="O30" s="151">
        <f t="shared" si="4"/>
        <v>0</v>
      </c>
      <c r="P30" s="31"/>
    </row>
    <row r="31" spans="1:16" x14ac:dyDescent="0.3">
      <c r="A31" s="31"/>
      <c r="B31" s="28" t="str">
        <f>+Codigo!D26</f>
        <v>Internet / TV a cabo</v>
      </c>
      <c r="C31" s="37">
        <f>SUMIF(Jan!$D$6:$D$75,"M12",(Jan!$G$6:$G$75))</f>
        <v>0</v>
      </c>
      <c r="D31" s="37">
        <f>SUMIF(Fev!$D$6:$D$75,"M12",(Fev!$G$6:$G$75))</f>
        <v>0</v>
      </c>
      <c r="E31" s="37">
        <f>SUMIF(Mar!$D$6:$D$75,"m12",(Mar!$G$6:$G$75))</f>
        <v>0</v>
      </c>
      <c r="F31" s="37">
        <f>SUMIF(Abr!$D$6:$D$75,"m12",(Abr!G$6:$G$75))</f>
        <v>0</v>
      </c>
      <c r="G31" s="37">
        <f>SUMIF(Mai!$D$6:$D$75,"m12",(Mai!$G$6:$G$75))</f>
        <v>0</v>
      </c>
      <c r="H31" s="37">
        <f>SUMIF(Jun!$D$6:$D$75,"M12",(Jun!$G$6:$G$75))</f>
        <v>0</v>
      </c>
      <c r="I31" s="37">
        <f>SUMIF(Jul!$D$6:$D$75,"M12",(Jul!$G$6:$G$75))</f>
        <v>0</v>
      </c>
      <c r="J31" s="37">
        <f>SUMIF(Ago!$D$6:$D$75,"M12",(Ago!$G$6:$G$75))</f>
        <v>0</v>
      </c>
      <c r="K31" s="37">
        <f>SUMIF(Set!$D$6:$D$75,"M12",(Set!$G$6:$G$75))</f>
        <v>0</v>
      </c>
      <c r="L31" s="37">
        <f>SUMIF(Out!$D$6:$D$75,"M12",(Out!$G$6:$G$75))</f>
        <v>0</v>
      </c>
      <c r="M31" s="37">
        <f>SUMIF(Nov!$D$6:$D$75,"M12",(Nov!$G$6:$G$75))</f>
        <v>0</v>
      </c>
      <c r="N31" s="37">
        <f>SUMIF(Dez!$D$6:$D$75,"M12",(Dez!$G$6:$G$75))</f>
        <v>0</v>
      </c>
      <c r="O31" s="151">
        <f t="shared" si="4"/>
        <v>0</v>
      </c>
      <c r="P31" s="31"/>
    </row>
    <row r="32" spans="1:16" ht="15" customHeight="1" x14ac:dyDescent="0.3">
      <c r="A32" s="31"/>
      <c r="B32" s="98" t="str">
        <f>+Codigo!C27</f>
        <v>Educação</v>
      </c>
      <c r="C32" s="97">
        <f>SUM(C33:C36)</f>
        <v>0</v>
      </c>
      <c r="D32" s="97">
        <f t="shared" ref="D32:N32" si="5">SUM(D33:D36)</f>
        <v>0</v>
      </c>
      <c r="E32" s="97">
        <f t="shared" si="5"/>
        <v>0</v>
      </c>
      <c r="F32" s="97">
        <f t="shared" si="5"/>
        <v>0</v>
      </c>
      <c r="G32" s="97">
        <f t="shared" si="5"/>
        <v>0</v>
      </c>
      <c r="H32" s="97">
        <f t="shared" si="5"/>
        <v>0</v>
      </c>
      <c r="I32" s="97">
        <f t="shared" si="5"/>
        <v>0</v>
      </c>
      <c r="J32" s="97">
        <f t="shared" si="5"/>
        <v>0</v>
      </c>
      <c r="K32" s="97">
        <f t="shared" si="5"/>
        <v>0</v>
      </c>
      <c r="L32" s="97">
        <f t="shared" si="5"/>
        <v>0</v>
      </c>
      <c r="M32" s="97">
        <f t="shared" si="5"/>
        <v>0</v>
      </c>
      <c r="N32" s="97">
        <f t="shared" si="5"/>
        <v>0</v>
      </c>
      <c r="O32" s="96">
        <f>SUM(O33:O36)</f>
        <v>0</v>
      </c>
      <c r="P32" s="31"/>
    </row>
    <row r="33" spans="1:16" x14ac:dyDescent="0.3">
      <c r="A33" s="31"/>
      <c r="B33" s="28" t="str">
        <f>+Codigo!D27</f>
        <v xml:space="preserve">Matricula Escolar/ Mensalidade </v>
      </c>
      <c r="C33" s="37">
        <f>SUMIF(Jan!$D$6:$D$75,"E1",(Jan!$G$6:$G$75))</f>
        <v>0</v>
      </c>
      <c r="D33" s="37">
        <f>SUMIF(Fev!$D$6:$D$75,"E1",(Fev!$G$6:$G$75))</f>
        <v>0</v>
      </c>
      <c r="E33" s="37">
        <f>SUMIF(Mar!$D$6:$D$75,"E1",(Mar!$G$6:$G$75))</f>
        <v>0</v>
      </c>
      <c r="F33" s="37">
        <f>SUMIF(Abr!$D$6:$D$75,"E1",(Abr!G$6:$G$75))</f>
        <v>0</v>
      </c>
      <c r="G33" s="37">
        <f>SUMIF(Mai!$D$6:$D$75,"E1",(Mai!$G$6:$G$75))</f>
        <v>0</v>
      </c>
      <c r="H33" s="37">
        <f>SUMIF(Jun!$D$6:$D$75,"E1",(Jun!$G$6:$G$75))</f>
        <v>0</v>
      </c>
      <c r="I33" s="37">
        <f>SUMIF(Jul!$D$6:$D$75,"E1",(Jul!$G$6:$G$75))</f>
        <v>0</v>
      </c>
      <c r="J33" s="37">
        <f>SUMIF(Ago!$D$6:$D$75,"E1",(Ago!$G$6:$G$75))</f>
        <v>0</v>
      </c>
      <c r="K33" s="37">
        <f>SUMIF(Set!$D$6:$D$75,"E1",(Set!$G$6:$G$75))</f>
        <v>0</v>
      </c>
      <c r="L33" s="37">
        <f>SUMIF(Out!$D$6:$D$75,"E1",(Out!$G$6:$G$75))</f>
        <v>0</v>
      </c>
      <c r="M33" s="37">
        <f>SUMIF(Nov!$D$6:$D$75,"E1",(Nov!$G$6:$G$75))</f>
        <v>0</v>
      </c>
      <c r="N33" s="37">
        <f>SUMIF(Dez!$D$6:$D$75,"E1",(Dez!$G$6:$G$75))</f>
        <v>0</v>
      </c>
      <c r="O33" s="151">
        <f>SUM(C33:N33)</f>
        <v>0</v>
      </c>
      <c r="P33" s="31"/>
    </row>
    <row r="34" spans="1:16" x14ac:dyDescent="0.3">
      <c r="A34" s="31"/>
      <c r="B34" s="28" t="str">
        <f>+Codigo!D28</f>
        <v>Material Escolar</v>
      </c>
      <c r="C34" s="37">
        <f>SUMIF(Jan!$D$6:$D$75,"E2",(Jan!$G$6:$G$75))</f>
        <v>0</v>
      </c>
      <c r="D34" s="37">
        <f>SUMIF(Fev!$D$6:$D$75,"E2",(Fev!$G$6:$G$75))</f>
        <v>0</v>
      </c>
      <c r="E34" s="37">
        <f>SUMIF(Mar!$D$6:$D$75,"E2",(Mar!$G$6:$G$75))</f>
        <v>0</v>
      </c>
      <c r="F34" s="37">
        <f>SUMIF(Abr!$D$6:$D$75,"E2",(Abr!G$6:$G$75))</f>
        <v>0</v>
      </c>
      <c r="G34" s="37">
        <f>SUMIF(Mai!$D$6:$D$75,"E2",(Mai!$G$6:$G$75))</f>
        <v>0</v>
      </c>
      <c r="H34" s="37">
        <f>SUMIF(Jun!$D$6:$D$75,"E2",(Jun!$G$6:$G$75))</f>
        <v>0</v>
      </c>
      <c r="I34" s="37">
        <f>SUMIF(Jul!$D$6:$D$75,"E2",(Jul!$G$6:$G$75))</f>
        <v>0</v>
      </c>
      <c r="J34" s="37">
        <f>SUMIF(Ago!$D$6:$D$75,"E2",(Ago!$G$6:$G$75))</f>
        <v>0</v>
      </c>
      <c r="K34" s="37">
        <f>SUMIF(Set!$D$6:$D$75,"E2",(Set!$G$6:$G$75))</f>
        <v>0</v>
      </c>
      <c r="L34" s="37">
        <f>SUMIF(Out!$D$6:$D$75,"E2",(Out!$G$6:$G$75))</f>
        <v>0</v>
      </c>
      <c r="M34" s="37">
        <f>SUMIF(Nov!$D$6:$D$75,"E2",(Nov!$G$6:$G$75))</f>
        <v>0</v>
      </c>
      <c r="N34" s="37">
        <f>SUMIF(Dez!$D$6:$D$75,"E2",(Dez!$G$6:$G$75))</f>
        <v>0</v>
      </c>
      <c r="O34" s="151">
        <f>SUM(C34:N34)</f>
        <v>0</v>
      </c>
      <c r="P34" s="31"/>
    </row>
    <row r="35" spans="1:16" x14ac:dyDescent="0.3">
      <c r="A35" s="31"/>
      <c r="B35" s="28" t="str">
        <f>+Codigo!D29</f>
        <v>Outros cursos</v>
      </c>
      <c r="C35" s="37">
        <f>SUMIF(Jan!$D$6:$D$75,"E3",(Jan!$G$6:$G$75))</f>
        <v>0</v>
      </c>
      <c r="D35" s="37">
        <f>SUMIF(Fev!$D$6:$D$75,"E3",(Fev!$G$6:$G$75))</f>
        <v>0</v>
      </c>
      <c r="E35" s="37">
        <f>SUMIF(Mar!$D$6:$D$75,"E3",(Mar!$G$6:$G$75))</f>
        <v>0</v>
      </c>
      <c r="F35" s="37">
        <f>SUMIF(Abr!$D$6:$D$75,"E3",(Abr!G$6:$G$75))</f>
        <v>0</v>
      </c>
      <c r="G35" s="37">
        <f>SUMIF(Mai!$D$6:$D$75,"E3",(Mai!$G$6:$G$75))</f>
        <v>0</v>
      </c>
      <c r="H35" s="37">
        <f>SUMIF(Jun!$D$6:$D$75,"E3",(Jun!$G$6:$G$75))</f>
        <v>0</v>
      </c>
      <c r="I35" s="37">
        <f>SUMIF(Jul!$D$6:$D$75,"E3",(Jul!$G$6:$G$75))</f>
        <v>0</v>
      </c>
      <c r="J35" s="37">
        <f>SUMIF(Ago!$D$6:$D$75,"E3",(Ago!$G$6:$G$75))</f>
        <v>0</v>
      </c>
      <c r="K35" s="37">
        <f>SUMIF(Set!$D$6:$D$75,"E3",(Set!$G$6:$G$75))</f>
        <v>0</v>
      </c>
      <c r="L35" s="37">
        <f>SUMIF(Out!$D$6:$D$75,"E3",(Out!$G$6:$G$75))</f>
        <v>0</v>
      </c>
      <c r="M35" s="37">
        <f>SUMIF(Nov!$D$6:$D$75,"E3",(Nov!$G$6:$G$75))</f>
        <v>0</v>
      </c>
      <c r="N35" s="37">
        <f>SUMIF(Dez!$D$6:$D$75,"E3",(Dez!$G$6:$G$75))</f>
        <v>0</v>
      </c>
      <c r="O35" s="151">
        <f>SUM(C35:N35)</f>
        <v>0</v>
      </c>
      <c r="P35" s="31"/>
    </row>
    <row r="36" spans="1:16" x14ac:dyDescent="0.3">
      <c r="A36" s="31"/>
      <c r="B36" s="28" t="str">
        <f>+Codigo!D30</f>
        <v>Transporte escolar</v>
      </c>
      <c r="C36" s="37">
        <f>SUMIF(Jan!$D$6:$D$75,"E4",(Jan!$G$6:$G$75))</f>
        <v>0</v>
      </c>
      <c r="D36" s="37">
        <f>SUMIF(Fev!$D$6:$D$75,"E4",(Fev!$G$6:$G$75))</f>
        <v>0</v>
      </c>
      <c r="E36" s="37">
        <f>SUMIF(Mar!$D$6:$D$75,"E4",(Mar!$G$6:$G$75))</f>
        <v>0</v>
      </c>
      <c r="F36" s="37">
        <f>SUMIF(Abr!$D$6:$D$75,"E4",(Abr!G$6:$G$75))</f>
        <v>0</v>
      </c>
      <c r="G36" s="37">
        <f>SUMIF(Mai!$D$6:$D$75,"E4",(Mai!$G$6:$G$75))</f>
        <v>0</v>
      </c>
      <c r="H36" s="37">
        <f>SUMIF(Jun!$D$6:$D$75,"E4",(Jun!$G$6:$G$75))</f>
        <v>0</v>
      </c>
      <c r="I36" s="37">
        <f>SUMIF(Jul!$D$6:$D$75,"E4",(Jul!$G$6:$G$75))</f>
        <v>0</v>
      </c>
      <c r="J36" s="37">
        <f>SUMIF(Ago!$D$6:$D$75,"E4",(Ago!$G$6:$G$75))</f>
        <v>0</v>
      </c>
      <c r="K36" s="37">
        <f>SUMIF(Set!$D$6:$D$75,"E4",(Set!$G$6:$G$75))</f>
        <v>0</v>
      </c>
      <c r="L36" s="37">
        <f>SUMIF(Out!$D$6:$D$75,"E4",(Out!$G$6:$G$75))</f>
        <v>0</v>
      </c>
      <c r="M36" s="37">
        <f>SUMIF(Nov!$D$6:$D$75,"E4",(Nov!$G$6:$G$75))</f>
        <v>0</v>
      </c>
      <c r="N36" s="37">
        <f>SUMIF(Dez!$D$6:$D$75,"E4",(Dez!$G$6:$G$75))</f>
        <v>0</v>
      </c>
      <c r="O36" s="151">
        <f>SUM(C36:N36)</f>
        <v>0</v>
      </c>
      <c r="P36" s="31"/>
    </row>
    <row r="37" spans="1:16" ht="15" customHeight="1" x14ac:dyDescent="0.3">
      <c r="A37" s="31"/>
      <c r="B37" s="98" t="str">
        <f>+Codigo!C31</f>
        <v>Animal de Estimação</v>
      </c>
      <c r="C37" s="97">
        <f>SUM(C38:C41)</f>
        <v>0</v>
      </c>
      <c r="D37" s="97">
        <f t="shared" ref="D37:N37" si="6">SUM(D38:D41)</f>
        <v>0</v>
      </c>
      <c r="E37" s="97">
        <f t="shared" si="6"/>
        <v>0</v>
      </c>
      <c r="F37" s="97">
        <f t="shared" si="6"/>
        <v>0</v>
      </c>
      <c r="G37" s="97">
        <f t="shared" si="6"/>
        <v>0</v>
      </c>
      <c r="H37" s="97">
        <f t="shared" si="6"/>
        <v>0</v>
      </c>
      <c r="I37" s="97">
        <f t="shared" si="6"/>
        <v>0</v>
      </c>
      <c r="J37" s="97">
        <f t="shared" si="6"/>
        <v>0</v>
      </c>
      <c r="K37" s="97">
        <f t="shared" si="6"/>
        <v>0</v>
      </c>
      <c r="L37" s="97">
        <f t="shared" si="6"/>
        <v>0</v>
      </c>
      <c r="M37" s="97">
        <f t="shared" si="6"/>
        <v>0</v>
      </c>
      <c r="N37" s="97">
        <f t="shared" si="6"/>
        <v>0</v>
      </c>
      <c r="O37" s="96">
        <f>SUM(O38:O41)</f>
        <v>0</v>
      </c>
      <c r="P37" s="31"/>
    </row>
    <row r="38" spans="1:16" x14ac:dyDescent="0.3">
      <c r="A38" s="31"/>
      <c r="B38" s="28" t="str">
        <f>+Codigo!D31</f>
        <v xml:space="preserve">Ração </v>
      </c>
      <c r="C38" s="37">
        <f>SUMIF(Jan!$D$6:$D$75,"c1",(Jan!$G$6:$G$75))</f>
        <v>0</v>
      </c>
      <c r="D38" s="37">
        <f>SUMIF(Fev!$D$6:$D$75,"c1",(Fev!$G$6:$G$75))</f>
        <v>0</v>
      </c>
      <c r="E38" s="37">
        <f>SUMIF(Mar!$D$6:$D$75,"C1",(Mar!$G$6:$G$75))</f>
        <v>0</v>
      </c>
      <c r="F38" s="37">
        <f>SUMIF(Abr!$D$6:$D$75,"C1",(Abr!G$6:$G$75))</f>
        <v>0</v>
      </c>
      <c r="G38" s="37">
        <f>SUMIF(Mai!$D$6:$D$75,"C1",(Mai!$G$6:$G$75))</f>
        <v>0</v>
      </c>
      <c r="H38" s="37">
        <f>SUMIF(Jun!$D$6:$D$75,"C1",(Jun!$G$6:$G$75))</f>
        <v>0</v>
      </c>
      <c r="I38" s="37">
        <f>SUMIF(Jul!$D$6:$D$75,"C1",(Jul!$G$6:$G$75))</f>
        <v>0</v>
      </c>
      <c r="J38" s="37">
        <f>SUMIF(Ago!$D$6:$D$75,"C1",(Ago!$G$6:$G$75))</f>
        <v>0</v>
      </c>
      <c r="K38" s="37">
        <f>SUMIF(Set!$D$6:$D$75,"C1",(Set!$G$6:$G$75))</f>
        <v>0</v>
      </c>
      <c r="L38" s="37">
        <f>SUMIF(Out!$D$6:$D$75,"C1",(Out!$G$6:$G$75))</f>
        <v>0</v>
      </c>
      <c r="M38" s="37">
        <f>SUMIF(Nov!$D$6:$D$75,"C1",(Nov!$G$6:$G$75))</f>
        <v>0</v>
      </c>
      <c r="N38" s="37">
        <f>SUMIF(Dez!$D$6:$D$75,"C1",(Dez!$G$6:$G$75))</f>
        <v>0</v>
      </c>
      <c r="O38" s="151">
        <f>SUM(C38:N38)</f>
        <v>0</v>
      </c>
      <c r="P38" s="31"/>
    </row>
    <row r="39" spans="1:16" x14ac:dyDescent="0.3">
      <c r="A39" s="31"/>
      <c r="B39" s="28" t="str">
        <f>+Codigo!D32</f>
        <v>Banho / Tosa</v>
      </c>
      <c r="C39" s="37">
        <f>SUMIF(Jan!$D$6:$D$75,"c2",(Jan!$G$6:$G$75))</f>
        <v>0</v>
      </c>
      <c r="D39" s="37">
        <f>SUMIF(Fev!$D$6:$D$75,"c2",(Fev!$G$6:$G$75))</f>
        <v>0</v>
      </c>
      <c r="E39" s="37">
        <f>SUMIF(Mar!$D$6:$D$75,"C2",(Mar!$G$6:$G$75))</f>
        <v>0</v>
      </c>
      <c r="F39" s="37">
        <f>SUMIF(Abr!$D$6:$D$75,"C2",(Abr!G$6:$G$75))</f>
        <v>0</v>
      </c>
      <c r="G39" s="37">
        <f>SUMIF(Mai!$D$6:$D$75,"C2",(Mai!$G$6:$G$75))</f>
        <v>0</v>
      </c>
      <c r="H39" s="37">
        <f>SUMIF(Jun!$D$6:$D$75,"C2",(Jun!$G$6:$G$75))</f>
        <v>0</v>
      </c>
      <c r="I39" s="37">
        <f>SUMIF(Jul!$D$6:$D$75,"C2",(Jul!$G$6:$G$75))</f>
        <v>0</v>
      </c>
      <c r="J39" s="37">
        <f>SUMIF(Ago!$D$6:$D$75,"C2",(Ago!$G$6:$G$75))</f>
        <v>0</v>
      </c>
      <c r="K39" s="37">
        <f>SUMIF(Set!$D$6:$D$75,"C2",(Set!$G$6:$G$75))</f>
        <v>0</v>
      </c>
      <c r="L39" s="37">
        <f>SUMIF(Out!$D$6:$D$75,"C2",(Out!$G$6:$G$75))</f>
        <v>0</v>
      </c>
      <c r="M39" s="37">
        <f>SUMIF(Nov!$D$6:$D$75,"C2",(Nov!$G$6:$G$75))</f>
        <v>0</v>
      </c>
      <c r="N39" s="37">
        <f>SUMIF(Dez!$D$6:$D$75,"C2",(Dez!$G$6:$G$75))</f>
        <v>0</v>
      </c>
      <c r="O39" s="151">
        <f>SUM(C39:N39)</f>
        <v>0</v>
      </c>
      <c r="P39" s="31"/>
    </row>
    <row r="40" spans="1:16" x14ac:dyDescent="0.3">
      <c r="A40" s="31"/>
      <c r="B40" s="28" t="str">
        <f>+Codigo!D33</f>
        <v>Veterinário / medicamento</v>
      </c>
      <c r="C40" s="37">
        <f>SUMIF(Jan!$D$6:$D$75,"c3",(Jan!$G$6:$G$75))</f>
        <v>0</v>
      </c>
      <c r="D40" s="37">
        <f>SUMIF(Fev!$D$6:$D$75,"c3",(Fev!$G$6:$G$75))</f>
        <v>0</v>
      </c>
      <c r="E40" s="37">
        <f>SUMIF(Mar!$D$6:$D$75,"C3",(Mar!$G$6:$G$75))</f>
        <v>0</v>
      </c>
      <c r="F40" s="37">
        <f>SUMIF(Abr!$D$6:$D$75,"C3",(Abr!G$6:$G$75))</f>
        <v>0</v>
      </c>
      <c r="G40" s="37">
        <f>SUMIF(Mai!$D$6:$D$75,"C3",(Mai!$G$6:$G$75))</f>
        <v>0</v>
      </c>
      <c r="H40" s="37">
        <f>SUMIF(Jun!$D$6:$D$75,"C3",(Jun!$G$6:$G$75))</f>
        <v>0</v>
      </c>
      <c r="I40" s="37">
        <f>SUMIF(Jul!$D$6:$D$75,"C3",(Jul!$G$6:$G$75))</f>
        <v>0</v>
      </c>
      <c r="J40" s="37">
        <f>SUMIF(Ago!$D$6:$D$75,"C3",(Ago!$G$6:$G$75))</f>
        <v>0</v>
      </c>
      <c r="K40" s="37">
        <f>SUMIF(Set!$D$6:$D$75,"C3",(Set!$G$6:$G$75))</f>
        <v>0</v>
      </c>
      <c r="L40" s="37">
        <f>SUMIF(Out!$D$6:$D$75,"C3",(Out!$G$6:$G$75))</f>
        <v>0</v>
      </c>
      <c r="M40" s="37">
        <f>SUMIF(Nov!$D$6:$D$75,"C3",(Nov!$G$6:$G$75))</f>
        <v>0</v>
      </c>
      <c r="N40" s="37">
        <f>SUMIF(Dez!$D$6:$D$75,"C3",(Dez!$G$6:$G$75))</f>
        <v>0</v>
      </c>
      <c r="O40" s="151">
        <f>SUM(C40:N40)</f>
        <v>0</v>
      </c>
      <c r="P40" s="31"/>
    </row>
    <row r="41" spans="1:16" x14ac:dyDescent="0.3">
      <c r="A41" s="31"/>
      <c r="B41" s="28" t="str">
        <f>+Codigo!D34</f>
        <v>Outros (acessórios, brinquedos, hotel, dog walker)</v>
      </c>
      <c r="C41" s="37">
        <f>SUMIF(Jan!$D$6:$D$75,"c4",(Jan!$G$6:$G$75))</f>
        <v>0</v>
      </c>
      <c r="D41" s="37">
        <f>SUMIF(Fev!$D$6:$D$75,"c4",(Fev!$G$6:$G$75))</f>
        <v>0</v>
      </c>
      <c r="E41" s="37">
        <f>SUMIF(Mar!$D$6:$D$75,"C4",(Mar!$G$6:$G$75))</f>
        <v>0</v>
      </c>
      <c r="F41" s="37">
        <f>SUMIF(Abr!$D$6:$D$75,"C4",(Abr!G$6:$G$75))</f>
        <v>0</v>
      </c>
      <c r="G41" s="37">
        <f>SUMIF(Mai!$D$6:$D$75,"C4",(Mai!$G$6:$G$75))</f>
        <v>0</v>
      </c>
      <c r="H41" s="37">
        <f>SUMIF(Jun!$D$6:$D$75,"C4",(Jun!$G$6:$G$75))</f>
        <v>0</v>
      </c>
      <c r="I41" s="37">
        <f>SUMIF(Jul!$D$6:$D$75,"C4",(Jul!$G$6:$G$75))</f>
        <v>0</v>
      </c>
      <c r="J41" s="37">
        <f>SUMIF(Ago!$D$6:$D$75,"C4",(Ago!$G$6:$G$75))</f>
        <v>0</v>
      </c>
      <c r="K41" s="37">
        <f>SUMIF(Set!$D$6:$D$75,"C4",(Set!$G$6:$G$75))</f>
        <v>0</v>
      </c>
      <c r="L41" s="37">
        <f>SUMIF(Out!$D$6:$D$75,"C4",(Out!$G$6:$G$75))</f>
        <v>0</v>
      </c>
      <c r="M41" s="37">
        <f>SUMIF(Nov!$D$6:$D$75,"C4",(Nov!$G$6:$G$75))</f>
        <v>0</v>
      </c>
      <c r="N41" s="37">
        <f>SUMIF(Dez!$D$6:$D$75,"C4",(Dez!$G$6:$G$75))</f>
        <v>0</v>
      </c>
      <c r="O41" s="151">
        <f>SUM(C41:N41)</f>
        <v>0</v>
      </c>
      <c r="P41" s="31"/>
    </row>
    <row r="42" spans="1:16" ht="15" customHeight="1" x14ac:dyDescent="0.3">
      <c r="A42" s="31"/>
      <c r="B42" s="98" t="str">
        <f>+Codigo!C35</f>
        <v>Saúde</v>
      </c>
      <c r="C42" s="97">
        <f>SUM(C43:C48)</f>
        <v>0</v>
      </c>
      <c r="D42" s="97">
        <f t="shared" ref="D42:N42" si="7">SUM(D43:D48)</f>
        <v>0</v>
      </c>
      <c r="E42" s="97">
        <f t="shared" si="7"/>
        <v>0</v>
      </c>
      <c r="F42" s="97">
        <f t="shared" si="7"/>
        <v>0</v>
      </c>
      <c r="G42" s="97">
        <f t="shared" si="7"/>
        <v>0</v>
      </c>
      <c r="H42" s="97">
        <f t="shared" si="7"/>
        <v>0</v>
      </c>
      <c r="I42" s="97">
        <f t="shared" si="7"/>
        <v>0</v>
      </c>
      <c r="J42" s="97">
        <f t="shared" si="7"/>
        <v>0</v>
      </c>
      <c r="K42" s="97">
        <f t="shared" si="7"/>
        <v>0</v>
      </c>
      <c r="L42" s="97">
        <f t="shared" si="7"/>
        <v>0</v>
      </c>
      <c r="M42" s="97">
        <f t="shared" si="7"/>
        <v>0</v>
      </c>
      <c r="N42" s="97">
        <f t="shared" si="7"/>
        <v>0</v>
      </c>
      <c r="O42" s="96">
        <f>SUM(O43:O48)</f>
        <v>0</v>
      </c>
      <c r="P42" s="31"/>
    </row>
    <row r="43" spans="1:16" x14ac:dyDescent="0.3">
      <c r="A43" s="31"/>
      <c r="B43" s="28" t="str">
        <f>+Codigo!D35</f>
        <v>Plano de saúde</v>
      </c>
      <c r="C43" s="37">
        <f>SUMIF(Jan!$D$6:$D$75,"s1",(Jan!$G$6:$G$75))</f>
        <v>0</v>
      </c>
      <c r="D43" s="37">
        <f>SUMIF(Fev!$D$6:$D$75,"s1",(Fev!$G$6:$G$75))</f>
        <v>0</v>
      </c>
      <c r="E43" s="37">
        <f>SUMIF(Mar!$D$6:$D$75,"S1",(Mar!$G$6:$G$75))</f>
        <v>0</v>
      </c>
      <c r="F43" s="37">
        <f>SUMIF(Abr!$D$6:$D$75,"S1",(Abr!G$6:$G$75))</f>
        <v>0</v>
      </c>
      <c r="G43" s="37">
        <f>SUMIF(Mai!$D$6:$D$75,"S1",(Mai!$G$6:$G$75))</f>
        <v>0</v>
      </c>
      <c r="H43" s="37">
        <f>SUMIF(Jun!$D$6:$D$75,"S1",(Jun!$G$6:$G$75))</f>
        <v>0</v>
      </c>
      <c r="I43" s="37">
        <f>SUMIF(Jul!$D$6:$D$75,"S1",(Jul!$G$6:$G$75))</f>
        <v>0</v>
      </c>
      <c r="J43" s="37">
        <f>SUMIF(Ago!$D$6:$D$75,"S1",(Ago!$G$6:$G$75))</f>
        <v>0</v>
      </c>
      <c r="K43" s="37">
        <f>SUMIF(Set!$D$6:$D$75,"S1",(Set!$G$6:$G$75))</f>
        <v>0</v>
      </c>
      <c r="L43" s="37">
        <f>SUMIF(Out!$D$6:$D$75,"S1",(Out!$G$6:$G$75))</f>
        <v>0</v>
      </c>
      <c r="M43" s="37">
        <f>SUMIF(Nov!$D$6:$D$75,"S1",(Nov!$G$6:$G$75))</f>
        <v>0</v>
      </c>
      <c r="N43" s="37">
        <f>SUMIF(Dez!$D$6:$D$75,"S1",(Dez!$G$6:$G$75))</f>
        <v>0</v>
      </c>
      <c r="O43" s="151">
        <f t="shared" ref="O43:O48" si="8">SUM(C43:N43)</f>
        <v>0</v>
      </c>
      <c r="P43" s="31"/>
    </row>
    <row r="44" spans="1:16" x14ac:dyDescent="0.3">
      <c r="A44" s="31"/>
      <c r="B44" s="28" t="str">
        <f>+Codigo!D36</f>
        <v>Medicamentos</v>
      </c>
      <c r="C44" s="37">
        <f>SUMIF(Jan!$D$6:$D$75,"s2",(Jan!$G$6:$G$75))</f>
        <v>0</v>
      </c>
      <c r="D44" s="37">
        <f>SUMIF(Fev!$D$6:$D$75,"s2",(Fev!$G$6:$G$75))</f>
        <v>0</v>
      </c>
      <c r="E44" s="37">
        <f>SUMIF(Mar!$D$6:$D$75,"S2",(Mar!$G$6:$G$75))</f>
        <v>0</v>
      </c>
      <c r="F44" s="37">
        <f>SUMIF(Abr!$D$6:$D$75,"S2",(Abr!G$6:$G$75))</f>
        <v>0</v>
      </c>
      <c r="G44" s="37">
        <f>SUMIF(Mai!$D$6:$D$75,"S2",(Mai!$G$6:$G$75))</f>
        <v>0</v>
      </c>
      <c r="H44" s="37">
        <f>SUMIF(Jun!$D$6:$D$75,"S2",(Jun!$G$6:$G$75))</f>
        <v>0</v>
      </c>
      <c r="I44" s="37">
        <f>SUMIF(Jul!$D$6:$D$75,"S2",(Jul!$G$6:$G$75))</f>
        <v>0</v>
      </c>
      <c r="J44" s="37">
        <f>SUMIF(Ago!$D$6:$D$75,"S2",(Ago!$G$6:$G$75))</f>
        <v>0</v>
      </c>
      <c r="K44" s="37">
        <f>SUMIF(Set!$D$6:$D$75,"S2",(Set!$G$6:$G$75))</f>
        <v>0</v>
      </c>
      <c r="L44" s="37">
        <f>SUMIF(Out!$D$6:$D$75,"S2",(Out!$G$6:$G$75))</f>
        <v>0</v>
      </c>
      <c r="M44" s="37">
        <f>SUMIF(Nov!$D$6:$D$75,"S2",(Nov!$G$6:$G$75))</f>
        <v>0</v>
      </c>
      <c r="N44" s="37">
        <f>SUMIF(Dez!$D$6:$D$75,"S2",(Dez!$G$6:$G$75))</f>
        <v>0</v>
      </c>
      <c r="O44" s="151">
        <f t="shared" si="8"/>
        <v>0</v>
      </c>
      <c r="P44" s="31"/>
    </row>
    <row r="45" spans="1:16" x14ac:dyDescent="0.3">
      <c r="A45" s="31"/>
      <c r="B45" s="28" t="str">
        <f>+Codigo!D37</f>
        <v>Dentista</v>
      </c>
      <c r="C45" s="37">
        <f>SUMIF(Jan!$D$6:$D$75,"s3",(Jan!$G$6:$G$75))</f>
        <v>0</v>
      </c>
      <c r="D45" s="37">
        <f>SUMIF(Fev!$D$6:$D$75,"s3",(Fev!$G$6:$G$75))</f>
        <v>0</v>
      </c>
      <c r="E45" s="37">
        <f>SUMIF(Mar!$D$6:$D$75,"S3",(Mar!$G$6:$G$75))</f>
        <v>0</v>
      </c>
      <c r="F45" s="37">
        <f>SUMIF(Abr!$D$6:$D$75,"S3",(Abr!G$6:$G$75))</f>
        <v>0</v>
      </c>
      <c r="G45" s="37">
        <f>SUMIF(Mai!$D$6:$D$75,"S3",(Mai!$G$6:$G$75))</f>
        <v>0</v>
      </c>
      <c r="H45" s="37">
        <f>SUMIF(Jun!$D$6:$D$75,"S3",(Jun!$G$6:$G$75))</f>
        <v>0</v>
      </c>
      <c r="I45" s="37">
        <f>SUMIF(Jul!$D$6:$D$75,"S3",(Jul!$G$6:$G$75))</f>
        <v>0</v>
      </c>
      <c r="J45" s="37">
        <f>SUMIF(Ago!$D$6:$D$75,"S3",(Ago!$G$6:$G$75))</f>
        <v>0</v>
      </c>
      <c r="K45" s="37">
        <f>SUMIF(Set!$D$6:$D$75,"S3",(Set!$G$6:$G$75))</f>
        <v>0</v>
      </c>
      <c r="L45" s="37">
        <f>SUMIF(Out!$D$6:$D$75,"S3",(Out!$G$6:$G$75))</f>
        <v>0</v>
      </c>
      <c r="M45" s="37">
        <f>SUMIF(Nov!$D$6:$D$75,"S3",(Nov!$G$6:$G$75))</f>
        <v>0</v>
      </c>
      <c r="N45" s="37">
        <f>SUMIF(Dez!$D$6:$D$75,"S3",(Dez!$G$6:$G$75))</f>
        <v>0</v>
      </c>
      <c r="O45" s="151">
        <f t="shared" si="8"/>
        <v>0</v>
      </c>
      <c r="P45" s="31"/>
    </row>
    <row r="46" spans="1:16" x14ac:dyDescent="0.3">
      <c r="A46" s="31"/>
      <c r="B46" s="28" t="str">
        <f>+Codigo!D38</f>
        <v>Terapia / Psicólogo  / Acupuntura</v>
      </c>
      <c r="C46" s="37">
        <f>SUMIF(Jan!$D$6:$D$75,"s4",(Jan!$G$6:$G$75))</f>
        <v>0</v>
      </c>
      <c r="D46" s="37">
        <f>SUMIF(Fev!$D$6:$D$75,"s4",(Fev!$G$6:$G$75))</f>
        <v>0</v>
      </c>
      <c r="E46" s="37">
        <f>SUMIF(Mar!$D$6:$D$75,"S4",(Mar!$G$6:$G$75))</f>
        <v>0</v>
      </c>
      <c r="F46" s="37">
        <f>SUMIF(Abr!$D$6:$D$75,"S4",(Abr!G$6:$G$75))</f>
        <v>0</v>
      </c>
      <c r="G46" s="37">
        <f>SUMIF(Mai!$D$6:$D$75,"S4",(Mai!$G$6:$G$75))</f>
        <v>0</v>
      </c>
      <c r="H46" s="37">
        <f>SUMIF(Jun!$D$6:$D$75,"S4",(Jun!$G$6:$G$75))</f>
        <v>0</v>
      </c>
      <c r="I46" s="37">
        <f>SUMIF(Jul!$D$6:$D$75,"S4",(Jul!$G$6:$G$75))</f>
        <v>0</v>
      </c>
      <c r="J46" s="37">
        <f>SUMIF(Ago!$D$6:$D$75,"S4",(Ago!$G$6:$G$75))</f>
        <v>0</v>
      </c>
      <c r="K46" s="37">
        <f>SUMIF(Set!$D$6:$D$75,"S4",(Set!$G$6:$G$75))</f>
        <v>0</v>
      </c>
      <c r="L46" s="37">
        <f>SUMIF(Out!$D$6:$D$75,"S4",(Out!$G$6:$G$75))</f>
        <v>0</v>
      </c>
      <c r="M46" s="37">
        <f>SUMIF(Nov!$D$6:$D$75,"S4",(Nov!$G$6:$G$75))</f>
        <v>0</v>
      </c>
      <c r="N46" s="37">
        <f>SUMIF(Dez!$D$6:$D$75,"S4",(Dez!$G$6:$G$75))</f>
        <v>0</v>
      </c>
      <c r="O46" s="151">
        <f t="shared" si="8"/>
        <v>0</v>
      </c>
      <c r="P46" s="31"/>
    </row>
    <row r="47" spans="1:16" x14ac:dyDescent="0.3">
      <c r="A47" s="31"/>
      <c r="B47" s="28" t="str">
        <f>+Codigo!D39</f>
        <v>Médicos/Exames fora do plano de saúde</v>
      </c>
      <c r="C47" s="37">
        <f>SUMIF(Jan!$D$6:$D$75,"s5",(Jan!$G$6:$G$75))</f>
        <v>0</v>
      </c>
      <c r="D47" s="37">
        <f>SUMIF(Fev!$D$6:$D$75,"s5",(Fev!$G$6:$G$75))</f>
        <v>0</v>
      </c>
      <c r="E47" s="37">
        <f>SUMIF(Mar!$D$6:$D$75,"S5",(Mar!$G$6:$G$75))</f>
        <v>0</v>
      </c>
      <c r="F47" s="37">
        <f>SUMIF(Abr!$D$6:$D$75,"S5",(Abr!G$6:$G$75))</f>
        <v>0</v>
      </c>
      <c r="G47" s="37">
        <f>SUMIF(Mai!$D$6:$D$75,"S5",(Mai!$G$6:$G$75))</f>
        <v>0</v>
      </c>
      <c r="H47" s="37">
        <f>SUMIF(Jun!$D$6:$D$75,"S5",(Jun!$G$6:$G$75))</f>
        <v>0</v>
      </c>
      <c r="I47" s="37">
        <f>SUMIF(Jul!$D$6:$D$75,"S5",(Jul!$G$6:$G$75))</f>
        <v>0</v>
      </c>
      <c r="J47" s="37">
        <f>SUMIF(Ago!$D$6:$D$75,"S5",(Ago!$G$6:$G$75))</f>
        <v>0</v>
      </c>
      <c r="K47" s="37">
        <f>SUMIF(Set!$D$6:$D$75,"S5",(Set!$G$6:$G$75))</f>
        <v>0</v>
      </c>
      <c r="L47" s="37">
        <f>SUMIF(Out!$D$6:$D$75,"S5",(Out!$G$6:$G$75))</f>
        <v>0</v>
      </c>
      <c r="M47" s="37">
        <f>SUMIF(Nov!$D$6:$D$75,"S5",(Nov!$G$6:$G$75))</f>
        <v>0</v>
      </c>
      <c r="N47" s="37">
        <f>SUMIF(Dez!$D$6:$D$75,"S5",(Dez!$G$6:$G$75))</f>
        <v>0</v>
      </c>
      <c r="O47" s="151">
        <f t="shared" si="8"/>
        <v>0</v>
      </c>
      <c r="P47" s="31"/>
    </row>
    <row r="48" spans="1:16" x14ac:dyDescent="0.3">
      <c r="A48" s="31"/>
      <c r="B48" s="28" t="str">
        <f>+Codigo!D40</f>
        <v>Academia / Tratamento Estético</v>
      </c>
      <c r="C48" s="37">
        <f>SUMIF(Jan!$D$6:$D$75,"s6",(Jan!$G$6:$G$75))</f>
        <v>0</v>
      </c>
      <c r="D48" s="37">
        <f>SUMIF(Fev!$D$6:$D$75,"s6",(Fev!$G$6:$G$75))</f>
        <v>0</v>
      </c>
      <c r="E48" s="37">
        <f>SUMIF(Mar!$D$6:$D$75,"S6",(Mar!$G$6:$G$75))</f>
        <v>0</v>
      </c>
      <c r="F48" s="37">
        <f>SUMIF(Abr!$D$6:$D$75,"S6",(Abr!G$6:$G$75))</f>
        <v>0</v>
      </c>
      <c r="G48" s="37">
        <f>SUMIF(Mai!$D$6:$D$75,"S6",(Mai!$G$6:$G$75))</f>
        <v>0</v>
      </c>
      <c r="H48" s="37">
        <f>SUMIF(Jun!$D$6:$D$75,"S6",(Jun!$G$6:$G$75))</f>
        <v>0</v>
      </c>
      <c r="I48" s="37">
        <f>SUMIF(Jul!$D$6:$D$75,"S6",(Jul!$G$6:$G$75))</f>
        <v>0</v>
      </c>
      <c r="J48" s="37">
        <f>SUMIF(Ago!$D$6:$D$75,"S6",(Ago!$G$6:$G$75))</f>
        <v>0</v>
      </c>
      <c r="K48" s="37">
        <f>SUMIF(Set!$D$6:$D$75,"S6",(Set!$G$6:$G$75))</f>
        <v>0</v>
      </c>
      <c r="L48" s="37">
        <f>SUMIF(Out!$D$6:$D$75,"S6",(Out!$G$6:$G$75))</f>
        <v>0</v>
      </c>
      <c r="M48" s="37">
        <f>SUMIF(Nov!$D$6:$D$75,"S6",(Nov!$G$6:$G$75))</f>
        <v>0</v>
      </c>
      <c r="N48" s="37">
        <f>SUMIF(Dez!$D$6:$D$75,"S6",(Dez!$G$6:$G$75))</f>
        <v>0</v>
      </c>
      <c r="O48" s="151">
        <f t="shared" si="8"/>
        <v>0</v>
      </c>
      <c r="P48" s="31"/>
    </row>
    <row r="49" spans="1:16" ht="15" customHeight="1" x14ac:dyDescent="0.3">
      <c r="A49" s="31"/>
      <c r="B49" s="98" t="str">
        <f>+Codigo!C41</f>
        <v>Transporte</v>
      </c>
      <c r="C49" s="97">
        <f>SUM(C50:C58)</f>
        <v>0</v>
      </c>
      <c r="D49" s="97">
        <f t="shared" ref="D49:N49" si="9">SUM(D50:D58)</f>
        <v>0</v>
      </c>
      <c r="E49" s="97">
        <f t="shared" si="9"/>
        <v>0</v>
      </c>
      <c r="F49" s="97">
        <f t="shared" si="9"/>
        <v>0</v>
      </c>
      <c r="G49" s="97">
        <f t="shared" si="9"/>
        <v>0</v>
      </c>
      <c r="H49" s="97">
        <f t="shared" si="9"/>
        <v>0</v>
      </c>
      <c r="I49" s="97">
        <f t="shared" si="9"/>
        <v>0</v>
      </c>
      <c r="J49" s="97">
        <f t="shared" si="9"/>
        <v>0</v>
      </c>
      <c r="K49" s="97">
        <f t="shared" si="9"/>
        <v>0</v>
      </c>
      <c r="L49" s="97">
        <f t="shared" si="9"/>
        <v>0</v>
      </c>
      <c r="M49" s="97">
        <f t="shared" si="9"/>
        <v>0</v>
      </c>
      <c r="N49" s="97">
        <f t="shared" si="9"/>
        <v>0</v>
      </c>
      <c r="O49" s="96">
        <f>SUM(O50:O58)</f>
        <v>0</v>
      </c>
      <c r="P49" s="31"/>
    </row>
    <row r="50" spans="1:16" x14ac:dyDescent="0.3">
      <c r="A50" s="31"/>
      <c r="B50" s="28" t="str">
        <f>+Codigo!D41</f>
        <v>Ônibus / Metrô</v>
      </c>
      <c r="C50" s="37">
        <f>SUMIF(Jan!$D$6:$D$75,"t1",(Jan!$G$6:$G$75))</f>
        <v>0</v>
      </c>
      <c r="D50" s="37">
        <f>SUMIF(Fev!$D$6:$D$75,"t1",(Fev!$G$6:$G$75))</f>
        <v>0</v>
      </c>
      <c r="E50" s="37">
        <f>SUMIF(Mar!$D$6:$D$75,"t1",(Mar!$G$6:$G$75))</f>
        <v>0</v>
      </c>
      <c r="F50" s="37">
        <f>SUMIF(Abr!$D$6:$D$75,"t1",(Abr!$G$6:$G$75))</f>
        <v>0</v>
      </c>
      <c r="G50" s="37">
        <f>SUMIF(Mai!$D$6:$D$75,"t1",(Mai!$G$6:$G$75))</f>
        <v>0</v>
      </c>
      <c r="H50" s="37">
        <f>SUMIF(Jun!$D$6:$D$75,"t1",(Jun!$G$6:$G$75))</f>
        <v>0</v>
      </c>
      <c r="I50" s="37">
        <f>SUMIF(Jul!$D$6:$D$75,"t1",(Jul!$G$6:$G$75))</f>
        <v>0</v>
      </c>
      <c r="J50" s="37">
        <f>SUMIF(Ago!$D$6:$D$75,"t1",(Ago!$G$6:$G$75))</f>
        <v>0</v>
      </c>
      <c r="K50" s="37">
        <f>SUMIF(Set!$D$6:$D$75,"t1",(Set!$G$6:$G$75))</f>
        <v>0</v>
      </c>
      <c r="L50" s="37">
        <f>SUMIF(Out!$D$6:$D$75,"t1",(Out!$G$6:$G$75))</f>
        <v>0</v>
      </c>
      <c r="M50" s="37">
        <f>SUMIF(Nov!$D$6:$D$75,"t1",(Nov!$G$6:$G$75))</f>
        <v>0</v>
      </c>
      <c r="N50" s="37">
        <f>SUMIF(Dez!$D$6:$D$75,"t1",(Dez!$G$6:$G$75))</f>
        <v>0</v>
      </c>
      <c r="O50" s="151">
        <f t="shared" ref="O50:O58" si="10">SUM(C50:N50)</f>
        <v>0</v>
      </c>
      <c r="P50" s="31"/>
    </row>
    <row r="51" spans="1:16" x14ac:dyDescent="0.3">
      <c r="A51" s="31"/>
      <c r="B51" s="28" t="str">
        <f>+Codigo!D42</f>
        <v>Taxi</v>
      </c>
      <c r="C51" s="37">
        <f>SUMIF(Jan!$D$6:$D$75,"t2",(Jan!$G$6:$G$75))</f>
        <v>0</v>
      </c>
      <c r="D51" s="37">
        <f>SUMIF(Fev!$D$6:$D$75,"t2",(Fev!$G$6:$G$75))</f>
        <v>0</v>
      </c>
      <c r="E51" s="37">
        <f>SUMIF(Mar!$D$6:$D$75,"T2",(Mar!$G$6:$G$75))</f>
        <v>0</v>
      </c>
      <c r="F51" s="37">
        <f>SUMIF(Abr!$D$6:$D$75,"T2",(Abr!G$6:$G$75))</f>
        <v>0</v>
      </c>
      <c r="G51" s="37">
        <f>SUMIF(Mai!$D$6:$D$75,"t2",(Mai!$G$6:$G$75))</f>
        <v>0</v>
      </c>
      <c r="H51" s="37">
        <f>SUMIF(Jun!$D$6:$D$75,"T2",(Jun!$G$6:$G$75))</f>
        <v>0</v>
      </c>
      <c r="I51" s="37">
        <f>SUMIF(Jul!$D$6:$D$75,"T2",(Jul!$G$6:$G$75))</f>
        <v>0</v>
      </c>
      <c r="J51" s="37">
        <f>SUMIF(Ago!$D$6:$D$75,"T2",(Ago!$G$6:$G$75))</f>
        <v>0</v>
      </c>
      <c r="K51" s="37">
        <f>SUMIF(Set!$D$6:$D$75,"T2",(Set!$G$6:$G$75))</f>
        <v>0</v>
      </c>
      <c r="L51" s="37">
        <f>SUMIF(Out!$D$6:$D$75,"T2",(Out!$G$6:$G$75))</f>
        <v>0</v>
      </c>
      <c r="M51" s="37">
        <f>SUMIF(Nov!$D$6:$D$75,"T2",(Nov!$G$6:$G$75))</f>
        <v>0</v>
      </c>
      <c r="N51" s="37">
        <f>SUMIF(Dez!$D$6:$D$75,"T2",(Dez!$G$6:$G$75))</f>
        <v>0</v>
      </c>
      <c r="O51" s="151">
        <f>SUM(C51:N51)</f>
        <v>0</v>
      </c>
      <c r="P51" s="31"/>
    </row>
    <row r="52" spans="1:16" x14ac:dyDescent="0.3">
      <c r="A52" s="31"/>
      <c r="B52" s="28" t="str">
        <f>+Codigo!D43</f>
        <v>Combustível</v>
      </c>
      <c r="C52" s="37">
        <f>SUMIF(Jan!$D$6:$D$75,"t3",(Jan!$G$6:$G$75))</f>
        <v>0</v>
      </c>
      <c r="D52" s="37">
        <f>SUMIF(Fev!$D$6:$D$75,"t3",(Fev!$G$6:$G$75))</f>
        <v>0</v>
      </c>
      <c r="E52" s="37">
        <f>SUMIF(Mar!$D$6:$D$75,"T3",(Mar!$G$6:$G$75))</f>
        <v>0</v>
      </c>
      <c r="F52" s="37">
        <f>SUMIF(Abr!$D$6:$D$75,"T3",(Abr!G$6:$G$75))</f>
        <v>0</v>
      </c>
      <c r="G52" s="37">
        <f>SUMIF(Mai!$D$6:$D$75,"t3",(Mai!$G$6:$G$75))</f>
        <v>0</v>
      </c>
      <c r="H52" s="37">
        <f>SUMIF(Jun!$D$6:$D$75,"T3",(Jun!$G$6:$G$75))</f>
        <v>0</v>
      </c>
      <c r="I52" s="37">
        <f>SUMIF(Jul!$D$6:$D$75,"T3",(Jul!$G$6:$G$75))</f>
        <v>0</v>
      </c>
      <c r="J52" s="37">
        <f>SUMIF(Ago!$D$6:$D$75,"T3",(Ago!$G$6:$G$75))</f>
        <v>0</v>
      </c>
      <c r="K52" s="37">
        <f>SUMIF(Set!$D$6:$D$75,"T3",(Set!$G$6:$G$75))</f>
        <v>0</v>
      </c>
      <c r="L52" s="37">
        <f>SUMIF(Out!$D$6:$D$75,"T3",(Out!$G$6:$G$75))</f>
        <v>0</v>
      </c>
      <c r="M52" s="37">
        <f>SUMIF(Nov!$D$6:$D$75,"T3",(Nov!$G$6:$G$75))</f>
        <v>0</v>
      </c>
      <c r="N52" s="37">
        <f>SUMIF(Dez!$D$6:$D$75,"T3",(Dez!$G$6:$G$75))</f>
        <v>0</v>
      </c>
      <c r="O52" s="151">
        <f t="shared" si="10"/>
        <v>0</v>
      </c>
      <c r="P52" s="31"/>
    </row>
    <row r="53" spans="1:16" x14ac:dyDescent="0.3">
      <c r="A53" s="31"/>
      <c r="B53" s="28" t="str">
        <f>+Codigo!D44</f>
        <v>Estacionamento</v>
      </c>
      <c r="C53" s="37">
        <f>SUMIF(Jan!$D$6:$D$75,"t4",(Jan!$G$6:$G$75))</f>
        <v>0</v>
      </c>
      <c r="D53" s="37">
        <f>SUMIF(Fev!$D$6:$D$75,"t4",(Fev!$G$6:$G$75))</f>
        <v>0</v>
      </c>
      <c r="E53" s="37">
        <f>SUMIF(Mar!$D$6:$D$75,"T4",(Mar!$G$6:$G$75))</f>
        <v>0</v>
      </c>
      <c r="F53" s="37">
        <f>SUMIF(Abr!$D$6:$D$75,"T4",(Abr!G$6:$G$75))</f>
        <v>0</v>
      </c>
      <c r="G53" s="37">
        <f>SUMIF(Mai!$D$6:$D$75,"t4",(Mai!$G$6:$G$75))</f>
        <v>0</v>
      </c>
      <c r="H53" s="37">
        <f>SUMIF(Jun!$D$6:$D$75,"T4",(Jun!$G$6:$G$75))</f>
        <v>0</v>
      </c>
      <c r="I53" s="37">
        <f>SUMIF(Jul!$D$6:$D$75,"T4",(Jul!$G$6:$G$75))</f>
        <v>0</v>
      </c>
      <c r="J53" s="37">
        <f>SUMIF(Ago!$D$6:$D$75,"T4",(Ago!$G$6:$G$75))</f>
        <v>0</v>
      </c>
      <c r="K53" s="37">
        <f>SUMIF(Set!$D$6:$D$75,"T4",(Set!$G$6:$G$75))</f>
        <v>0</v>
      </c>
      <c r="L53" s="37">
        <f>SUMIF(Out!$D$6:$D$75,"T4",(Out!$G$6:$G$75))</f>
        <v>0</v>
      </c>
      <c r="M53" s="37">
        <f>SUMIF(Nov!$D$6:$D$75,"T4",(Nov!$G$6:$G$75))</f>
        <v>0</v>
      </c>
      <c r="N53" s="37">
        <f>SUMIF(Dez!$D$6:$D$75,"T4",(Dez!$G$6:$G$75))</f>
        <v>0</v>
      </c>
      <c r="O53" s="151">
        <f t="shared" si="10"/>
        <v>0</v>
      </c>
      <c r="P53" s="31"/>
    </row>
    <row r="54" spans="1:16" x14ac:dyDescent="0.3">
      <c r="A54" s="31"/>
      <c r="B54" s="28" t="str">
        <f>+Codigo!D45</f>
        <v>Seguro Auto</v>
      </c>
      <c r="C54" s="37">
        <f>SUMIF(Jan!$D$6:$D$75,"t5",(Jan!$G$6:$G$75))</f>
        <v>0</v>
      </c>
      <c r="D54" s="37">
        <f>SUMIF(Fev!$D$6:$D$75,"t5",(Fev!$G$6:$G$75))</f>
        <v>0</v>
      </c>
      <c r="E54" s="37">
        <f>SUMIF(Mar!$D$6:$D$75,"T5",(Mar!$G$6:$G$75))</f>
        <v>0</v>
      </c>
      <c r="F54" s="37">
        <f>SUMIF(Abr!$D$6:$D$75,"T5",(Abr!G$6:$G$75))</f>
        <v>0</v>
      </c>
      <c r="G54" s="37">
        <f>SUMIF(Mai!$D$6:$D$75,"t5",(Mai!$G$6:$G$75))</f>
        <v>0</v>
      </c>
      <c r="H54" s="37">
        <f>SUMIF(Jun!$D$6:$D$75,"T5",(Jun!$G$6:$G$75))</f>
        <v>0</v>
      </c>
      <c r="I54" s="37">
        <f>SUMIF(Jul!$D$6:$D$75,"T5",(Jul!$G$6:$G$75))</f>
        <v>0</v>
      </c>
      <c r="J54" s="37">
        <f>SUMIF(Ago!$D$6:$D$75,"T5",(Ago!$G$6:$G$75))</f>
        <v>0</v>
      </c>
      <c r="K54" s="37">
        <f>SUMIF(Set!$D$6:$D$75,"T5",(Set!$G$6:$G$75))</f>
        <v>0</v>
      </c>
      <c r="L54" s="37">
        <f>SUMIF(Out!$D$6:$D$75,"T5",(Out!$G$6:$G$75))</f>
        <v>0</v>
      </c>
      <c r="M54" s="37">
        <f>SUMIF(Nov!$D$6:$D$75,"T5",(Nov!$G$6:$G$75))</f>
        <v>0</v>
      </c>
      <c r="N54" s="37">
        <f>SUMIF(Dez!$D$6:$D$75,"T5",(Dez!$G$6:$G$75))</f>
        <v>0</v>
      </c>
      <c r="O54" s="151">
        <f t="shared" si="10"/>
        <v>0</v>
      </c>
      <c r="P54" s="31"/>
    </row>
    <row r="55" spans="1:16" x14ac:dyDescent="0.3">
      <c r="A55" s="31"/>
      <c r="B55" s="28" t="str">
        <f>+Codigo!D46</f>
        <v>Manutenção / Lavagem / Troca de óleo</v>
      </c>
      <c r="C55" s="37">
        <f>SUMIF(Jan!$D$6:$D$75,"t6",(Jan!$G$6:$G$75))</f>
        <v>0</v>
      </c>
      <c r="D55" s="37">
        <f>SUMIF(Fev!$D$6:$D$75,"t6",(Fev!$G$6:$G$75))</f>
        <v>0</v>
      </c>
      <c r="E55" s="37">
        <f>SUMIF(Mar!$D$6:$D$75,"T6",(Mar!$G$6:$G$75))</f>
        <v>0</v>
      </c>
      <c r="F55" s="37">
        <f>SUMIF(Abr!$D$6:$D$75,"T6",(Abr!G$6:$G$75))</f>
        <v>0</v>
      </c>
      <c r="G55" s="37">
        <f>SUMIF(Mai!$D$6:$D$75,"t6",(Mai!$G$6:$G$75))</f>
        <v>0</v>
      </c>
      <c r="H55" s="37">
        <f>SUMIF(Jun!$D$6:$D$75,"T6",(Jun!$G$6:$G$75))</f>
        <v>0</v>
      </c>
      <c r="I55" s="37">
        <f>SUMIF(Jul!$D$6:$D$75,"T6",(Jul!$G$6:$G$75))</f>
        <v>0</v>
      </c>
      <c r="J55" s="37">
        <f>SUMIF(Ago!$D$6:$D$75,"T6",(Ago!$G$6:$G$75))</f>
        <v>0</v>
      </c>
      <c r="K55" s="37">
        <f>SUMIF(Set!$D$6:$D$75,"T6",(Set!$G$6:$G$75))</f>
        <v>0</v>
      </c>
      <c r="L55" s="37">
        <f>SUMIF(Out!$D$6:$D$75,"T6",(Out!$G$6:$G$75))</f>
        <v>0</v>
      </c>
      <c r="M55" s="37">
        <f>SUMIF(Nov!$D$6:$D$75,"T6",(Nov!$G$6:$G$75))</f>
        <v>0</v>
      </c>
      <c r="N55" s="37">
        <f>SUMIF(Dez!$D$6:$D$75,"T6",(Dez!$G$6:$G$75))</f>
        <v>0</v>
      </c>
      <c r="O55" s="151">
        <f t="shared" si="10"/>
        <v>0</v>
      </c>
      <c r="P55" s="31"/>
    </row>
    <row r="56" spans="1:16" x14ac:dyDescent="0.3">
      <c r="A56" s="31"/>
      <c r="B56" s="28" t="str">
        <f>+Codigo!D47</f>
        <v>Licenciamento</v>
      </c>
      <c r="C56" s="37">
        <f>SUMIF(Jan!$D$6:$D$75,"t7",(Jan!$G$6:$G$75))</f>
        <v>0</v>
      </c>
      <c r="D56" s="37">
        <f>SUMIF(Fev!$D$6:$D$75,"t7",(Fev!$G$6:$G$75))</f>
        <v>0</v>
      </c>
      <c r="E56" s="37">
        <f>SUMIF(Mar!$D$6:$D$75,"T7",(Mar!$G$6:$G$75))</f>
        <v>0</v>
      </c>
      <c r="F56" s="37">
        <f>SUMIF(Abr!$D$6:$D$75,"T7",(Abr!G$6:$G$75))</f>
        <v>0</v>
      </c>
      <c r="G56" s="37">
        <f>SUMIF(Mai!$D$6:$D$75,"t7",(Mai!$G$6:$G$75))</f>
        <v>0</v>
      </c>
      <c r="H56" s="37">
        <f>SUMIF(Jun!$D$6:$D$75,"T7",(Jun!$G$6:$G$75))</f>
        <v>0</v>
      </c>
      <c r="I56" s="37">
        <f>SUMIF(Jul!$D$6:$D$75,"T7",(Jul!$G$6:$G$75))</f>
        <v>0</v>
      </c>
      <c r="J56" s="37">
        <f>SUMIF(Ago!$D$6:$D$75,"T7",(Ago!$G$6:$G$75))</f>
        <v>0</v>
      </c>
      <c r="K56" s="37">
        <f>SUMIF(Set!$D$6:$D$75,"T7",(Set!$G$6:$G$75))</f>
        <v>0</v>
      </c>
      <c r="L56" s="37">
        <f>SUMIF(Out!$D$6:$D$75,"T7",(Out!$G$6:$G$75))</f>
        <v>0</v>
      </c>
      <c r="M56" s="37">
        <f>SUMIF(Nov!$D$6:$D$75,"T7",(Nov!$G$6:$G$75))</f>
        <v>0</v>
      </c>
      <c r="N56" s="37">
        <f>SUMIF(Dez!$D$6:$D$75,"T7",(Dez!$G$6:$G$75))</f>
        <v>0</v>
      </c>
      <c r="O56" s="151">
        <f t="shared" si="10"/>
        <v>0</v>
      </c>
      <c r="P56" s="31"/>
    </row>
    <row r="57" spans="1:16" x14ac:dyDescent="0.3">
      <c r="A57" s="31"/>
      <c r="B57" s="28" t="str">
        <f>+Codigo!D48</f>
        <v>Pedágio</v>
      </c>
      <c r="C57" s="37">
        <f>SUMIF(Jan!$D$6:$D$75,"t8",(Jan!$G$6:$G$75))</f>
        <v>0</v>
      </c>
      <c r="D57" s="37">
        <f>SUMIF(Fev!$D$6:$D$75,"t8",(Fev!$G$6:$G$75))</f>
        <v>0</v>
      </c>
      <c r="E57" s="37">
        <f>SUMIF(Mar!$D$6:$D$75,"T8",(Mar!$G$6:$G$75))</f>
        <v>0</v>
      </c>
      <c r="F57" s="37">
        <f>SUMIF(Abr!$D$6:$D$75,"T8",(Abr!G$6:$G$75))</f>
        <v>0</v>
      </c>
      <c r="G57" s="37">
        <f>SUMIF(Mai!$D$6:$D$75,"t8",(Mai!$G$6:$G$75))</f>
        <v>0</v>
      </c>
      <c r="H57" s="37">
        <f>SUMIF(Jun!$D$6:$D$75,"T8",(Jun!$G$6:$G$75))</f>
        <v>0</v>
      </c>
      <c r="I57" s="37">
        <f>SUMIF(Jul!$D$6:$D$75,"T8",(Jul!$G$6:$G$75))</f>
        <v>0</v>
      </c>
      <c r="J57" s="37">
        <f>SUMIF(Ago!$D$6:$D$75,"T8",(Ago!$G$6:$G$75))</f>
        <v>0</v>
      </c>
      <c r="K57" s="37">
        <f>SUMIF(Set!$D$6:$D$75,"T8",(Set!$G$6:$G$75))</f>
        <v>0</v>
      </c>
      <c r="L57" s="37">
        <f>SUMIF(Out!$D$6:$D$75,"T8",(Out!$G$6:$G$75))</f>
        <v>0</v>
      </c>
      <c r="M57" s="37">
        <f>SUMIF(Nov!$D$6:$D$75,"T8",(Nov!$G$6:$G$75))</f>
        <v>0</v>
      </c>
      <c r="N57" s="37">
        <f>SUMIF(Dez!$D$6:$D$75,"T8",(Dez!$G$6:$G$75))</f>
        <v>0</v>
      </c>
      <c r="O57" s="151">
        <f t="shared" si="10"/>
        <v>0</v>
      </c>
      <c r="P57" s="31"/>
    </row>
    <row r="58" spans="1:16" x14ac:dyDescent="0.3">
      <c r="A58" s="31"/>
      <c r="B58" s="28" t="str">
        <f>+Codigo!D49</f>
        <v>IPVA</v>
      </c>
      <c r="C58" s="37">
        <f>SUMIF(Jan!$D$6:$D$75,"t9",(Jan!$G$6:$G$75))</f>
        <v>0</v>
      </c>
      <c r="D58" s="37">
        <f>SUMIF(Fev!$D$6:$D$75,"t9",(Fev!$G$6:$G$75))</f>
        <v>0</v>
      </c>
      <c r="E58" s="37">
        <f>SUMIF(Mar!$D$6:$D$75,"T9",(Mar!$G$6:$G$75))</f>
        <v>0</v>
      </c>
      <c r="F58" s="37">
        <f>SUMIF(Abr!$D$6:$D$75,"T9",(Abr!G$6:$G$75))</f>
        <v>0</v>
      </c>
      <c r="G58" s="37">
        <f>SUMIF(Mai!$D$6:$D$75,"t9",(Mai!$G$6:$G$75))</f>
        <v>0</v>
      </c>
      <c r="H58" s="37">
        <f>SUMIF(Jun!$D$6:$D$75,"T9",(Jun!$G$6:$G$75))</f>
        <v>0</v>
      </c>
      <c r="I58" s="37">
        <f>SUMIF(Jul!$D$6:$D$75,"T9",(Jul!$G$6:$G$75))</f>
        <v>0</v>
      </c>
      <c r="J58" s="37">
        <f>SUMIF(Ago!$D$6:$D$75,"T9",(Ago!$G$6:$G$75))</f>
        <v>0</v>
      </c>
      <c r="K58" s="37">
        <f>SUMIF(Set!$D$6:$D$75,"T9",(Set!$G$6:$G$75))</f>
        <v>0</v>
      </c>
      <c r="L58" s="37">
        <f>SUMIF(Out!$D$6:$D$75,"T9",(Out!$G$6:$G$75))</f>
        <v>0</v>
      </c>
      <c r="M58" s="37">
        <f>SUMIF(Nov!$D$6:$D$75,"T9",(Nov!$G$6:$G$75))</f>
        <v>0</v>
      </c>
      <c r="N58" s="37">
        <f>SUMIF(Dez!$D$6:$D$75,"T9",(Dez!$G$6:$G$75))</f>
        <v>0</v>
      </c>
      <c r="O58" s="151">
        <f t="shared" si="10"/>
        <v>0</v>
      </c>
      <c r="P58" s="31"/>
    </row>
    <row r="59" spans="1:16" ht="15" customHeight="1" x14ac:dyDescent="0.3">
      <c r="A59" s="31"/>
      <c r="B59" s="98" t="str">
        <f>+Codigo!C50</f>
        <v>Pessoais</v>
      </c>
      <c r="C59" s="97">
        <f>SUM(C60:C63)</f>
        <v>0</v>
      </c>
      <c r="D59" s="97">
        <f t="shared" ref="D59:N59" si="11">SUM(D60:D63)</f>
        <v>0</v>
      </c>
      <c r="E59" s="97">
        <f t="shared" si="11"/>
        <v>0</v>
      </c>
      <c r="F59" s="97">
        <f t="shared" si="11"/>
        <v>0</v>
      </c>
      <c r="G59" s="97">
        <f t="shared" si="11"/>
        <v>0</v>
      </c>
      <c r="H59" s="97">
        <f t="shared" si="11"/>
        <v>0</v>
      </c>
      <c r="I59" s="97">
        <f t="shared" si="11"/>
        <v>0</v>
      </c>
      <c r="J59" s="97">
        <f t="shared" si="11"/>
        <v>0</v>
      </c>
      <c r="K59" s="97">
        <f t="shared" si="11"/>
        <v>0</v>
      </c>
      <c r="L59" s="97">
        <f t="shared" si="11"/>
        <v>0</v>
      </c>
      <c r="M59" s="97">
        <f t="shared" si="11"/>
        <v>0</v>
      </c>
      <c r="N59" s="97">
        <f t="shared" si="11"/>
        <v>15</v>
      </c>
      <c r="O59" s="96">
        <f>SUM(O60:O63)</f>
        <v>15</v>
      </c>
      <c r="P59" s="31"/>
    </row>
    <row r="60" spans="1:16" x14ac:dyDescent="0.3">
      <c r="A60" s="31"/>
      <c r="B60" s="28" t="str">
        <f>+Codigo!D50</f>
        <v>Vestuário / Calçados / Acessórios</v>
      </c>
      <c r="C60" s="37">
        <f>SUMIF(Jan!$D$6:$D$75,"p1",(Jan!$G$6:$G$75))</f>
        <v>0</v>
      </c>
      <c r="D60" s="37">
        <f>SUMIF(Fev!$D$6:$D$75,"p1",(Fev!$G$6:$G$75))</f>
        <v>0</v>
      </c>
      <c r="E60" s="37">
        <f>SUMIF(Mar!$D$6:$D$75,"P1",(Mar!$G$6:$G$75))</f>
        <v>0</v>
      </c>
      <c r="F60" s="37">
        <f>SUMIF(Abr!$D$6:$D$75,"P1",(Abr!G$6:$G$75))</f>
        <v>0</v>
      </c>
      <c r="G60" s="37">
        <f>SUMIF(Mai!$D$6:$D$75,"P1",(Mai!$G$6:$G$75))</f>
        <v>0</v>
      </c>
      <c r="H60" s="37">
        <f>SUMIF(Jun!$D$6:$D$75,"P1",(Jun!$G$6:$G$75))</f>
        <v>0</v>
      </c>
      <c r="I60" s="37">
        <f>SUMIF(Jul!$D$6:$D$75,"P1",(Jul!$G$6:$G$75))</f>
        <v>0</v>
      </c>
      <c r="J60" s="37">
        <f>SUMIF(Ago!$D$6:$D$75,"P1",(Ago!$G$6:$G$75))</f>
        <v>0</v>
      </c>
      <c r="K60" s="37">
        <f>SUMIF(Set!$D$6:$D$75,"P1",(Set!$G$6:$G$75))</f>
        <v>0</v>
      </c>
      <c r="L60" s="37">
        <f>SUMIF(Out!$D$6:$D$75,"P1",(Out!$G$6:$G$75))</f>
        <v>0</v>
      </c>
      <c r="M60" s="37">
        <f>SUMIF(Nov!$D$6:$D$75,"P1",(Nov!$G$6:$G$75))</f>
        <v>0</v>
      </c>
      <c r="N60" s="37">
        <f>SUMIF(Dez!$D$6:$D$75,"P1",(Dez!$G$6:$G$75))</f>
        <v>15</v>
      </c>
      <c r="O60" s="151">
        <f>SUM(C60:N60)</f>
        <v>15</v>
      </c>
      <c r="P60" s="31"/>
    </row>
    <row r="61" spans="1:16" x14ac:dyDescent="0.3">
      <c r="A61" s="31"/>
      <c r="B61" s="28" t="str">
        <f>+Codigo!D51</f>
        <v>Cabeleireiro / Manicure / Higiene pessoal</v>
      </c>
      <c r="C61" s="37">
        <f>SUMIF(Jan!$D$6:$D$75,"p2",(Jan!$G$6:$G$75))</f>
        <v>0</v>
      </c>
      <c r="D61" s="37">
        <f>SUMIF(Fev!$D$6:$D$75,"p2",(Fev!$G$6:$G$75))</f>
        <v>0</v>
      </c>
      <c r="E61" s="37">
        <f>SUMIF(Mar!$D$6:$D$75,"P2",(Mar!$G$6:$G$75))</f>
        <v>0</v>
      </c>
      <c r="F61" s="37">
        <f>SUMIF(Abr!$D$6:$D$75,"P2",(Abr!G$6:$G$75))</f>
        <v>0</v>
      </c>
      <c r="G61" s="37">
        <f>SUMIF(Mai!$D$6:$D$75,"P2",(Mai!$G$6:$G$75))</f>
        <v>0</v>
      </c>
      <c r="H61" s="37">
        <f>SUMIF(Jun!$D$6:$D$75,"P2",(Jun!$G$6:$G$75))</f>
        <v>0</v>
      </c>
      <c r="I61" s="37">
        <f>SUMIF(Jul!$D$6:$D$75,"P2",(Jul!$G$6:$G$75))</f>
        <v>0</v>
      </c>
      <c r="J61" s="37">
        <f>SUMIF(Ago!$D$6:$D$75,"P2",(Ago!$G$6:$G$75))</f>
        <v>0</v>
      </c>
      <c r="K61" s="37">
        <f>SUMIF(Set!$D$6:$D$75,"P2",(Set!$G$6:$G$75))</f>
        <v>0</v>
      </c>
      <c r="L61" s="37">
        <f>SUMIF(Out!$D$6:$D$75,"P2",(Out!$G$6:$G$75))</f>
        <v>0</v>
      </c>
      <c r="M61" s="37">
        <f>SUMIF(Nov!$D$6:$D$75,"P2",(Nov!$G$6:$G$75))</f>
        <v>0</v>
      </c>
      <c r="N61" s="37">
        <f>SUMIF(Dez!$D$6:$D$75,"P2",(Dez!$G$6:$G$75))</f>
        <v>0</v>
      </c>
      <c r="O61" s="151">
        <f>SUM(C61:N61)</f>
        <v>0</v>
      </c>
      <c r="P61" s="31"/>
    </row>
    <row r="62" spans="1:16" x14ac:dyDescent="0.3">
      <c r="A62" s="31"/>
      <c r="B62" s="28" t="str">
        <f>+Codigo!D52</f>
        <v xml:space="preserve">Presentes </v>
      </c>
      <c r="C62" s="37">
        <f>SUMIF(Jan!$D$6:$D$75,"p3",(Jan!$G$6:$G$75))</f>
        <v>0</v>
      </c>
      <c r="D62" s="37">
        <f>SUMIF(Fev!$D$6:$D$75,"p3",(Fev!$G$6:$G$75))</f>
        <v>0</v>
      </c>
      <c r="E62" s="37">
        <f>SUMIF(Mar!$D$6:$D$75,"P3",(Mar!$G$6:$G$75))</f>
        <v>0</v>
      </c>
      <c r="F62" s="37">
        <f>SUMIF(Abr!$D$6:$D$75,"P3",(Abr!G$6:$G$75))</f>
        <v>0</v>
      </c>
      <c r="G62" s="37">
        <f>SUMIF(Mai!$D$6:$D$75,"P3",(Mai!$G$6:$G$75))</f>
        <v>0</v>
      </c>
      <c r="H62" s="37">
        <f>SUMIF(Jun!$D$6:$D$75,"P3",(Jun!$G$6:$G$75))</f>
        <v>0</v>
      </c>
      <c r="I62" s="37">
        <f>SUMIF(Jul!$D$6:$D$75,"P3",(Jul!$G$6:$G$75))</f>
        <v>0</v>
      </c>
      <c r="J62" s="37">
        <f>SUMIF(Ago!$D$6:$D$75,"P3",(Ago!$G$6:$G$75))</f>
        <v>0</v>
      </c>
      <c r="K62" s="37">
        <f>SUMIF(Set!$D$6:$D$75,"P3",(Set!$G$6:$G$75))</f>
        <v>0</v>
      </c>
      <c r="L62" s="37">
        <f>SUMIF(Out!$D$6:$D$75,"P3",(Out!$G$6:$G$75))</f>
        <v>0</v>
      </c>
      <c r="M62" s="37">
        <f>SUMIF(Nov!$D$6:$D$75,"P3",(Nov!$G$6:$G$75))</f>
        <v>0</v>
      </c>
      <c r="N62" s="37">
        <f>SUMIF(Dez!$D$6:$D$75,"P3",(Dez!$G$6:$G$75))</f>
        <v>0</v>
      </c>
      <c r="O62" s="151">
        <f>SUM(C62:N62)</f>
        <v>0</v>
      </c>
      <c r="P62" s="31"/>
    </row>
    <row r="63" spans="1:16" x14ac:dyDescent="0.3">
      <c r="A63" s="31"/>
      <c r="B63" s="28" t="str">
        <f>+Codigo!D53</f>
        <v xml:space="preserve">Outros  </v>
      </c>
      <c r="C63" s="37">
        <f>SUMIF(Jan!$D$6:$D$75,"p4",(Jan!$G$6:$G$75))</f>
        <v>0</v>
      </c>
      <c r="D63" s="37">
        <f>SUMIF(Fev!$D$6:$D$75,"p4",(Fev!$G$6:$G$75))</f>
        <v>0</v>
      </c>
      <c r="E63" s="37">
        <f>SUMIF(Mar!$D$6:$D$75,"P4",(Mar!$G$6:$G$75))</f>
        <v>0</v>
      </c>
      <c r="F63" s="37">
        <f>SUMIF(Abr!$D$6:$D$75,"P4",(Abr!G$6:$G$75))</f>
        <v>0</v>
      </c>
      <c r="G63" s="37">
        <f>SUMIF(Mai!$D$6:$D$75,"P4",(Mai!$G$6:$G$75))</f>
        <v>0</v>
      </c>
      <c r="H63" s="37">
        <f>SUMIF(Jun!$D$6:$D$75,"P4",(Jun!$G$6:$G$75))</f>
        <v>0</v>
      </c>
      <c r="I63" s="37">
        <f>SUMIF(Jul!$D$6:$D$75,"P4",(Jul!$G$6:$G$75))</f>
        <v>0</v>
      </c>
      <c r="J63" s="37">
        <f>SUMIF(Ago!$D$6:$D$75,"P4",(Ago!$G$6:$G$75))</f>
        <v>0</v>
      </c>
      <c r="K63" s="37">
        <f>SUMIF(Set!$D$6:$D$75,"P4",(Set!$G$6:$G$75))</f>
        <v>0</v>
      </c>
      <c r="L63" s="37">
        <f>SUMIF(Out!$D$6:$D$75,"P4",(Out!$G$6:$G$75))</f>
        <v>0</v>
      </c>
      <c r="M63" s="37">
        <f>SUMIF(Nov!$D$6:$D$75,"P4",(Nov!$G$6:$G$75))</f>
        <v>0</v>
      </c>
      <c r="N63" s="37">
        <f>SUMIF(Dez!$D$6:$D$75,"P4",(Dez!$G$6:$G$75))</f>
        <v>0</v>
      </c>
      <c r="O63" s="151">
        <f>SUM(C63:N63)</f>
        <v>0</v>
      </c>
      <c r="P63" s="31"/>
    </row>
    <row r="64" spans="1:16" ht="15" customHeight="1" x14ac:dyDescent="0.3">
      <c r="A64" s="31"/>
      <c r="B64" s="98" t="str">
        <f>+Codigo!C54</f>
        <v>Lazer</v>
      </c>
      <c r="C64" s="97">
        <f>SUM(C65:C69)</f>
        <v>0</v>
      </c>
      <c r="D64" s="97">
        <f t="shared" ref="D64:N64" si="12">SUM(D65:D69)</f>
        <v>0</v>
      </c>
      <c r="E64" s="97">
        <f t="shared" si="12"/>
        <v>0</v>
      </c>
      <c r="F64" s="97">
        <f t="shared" si="12"/>
        <v>0</v>
      </c>
      <c r="G64" s="97">
        <f t="shared" si="12"/>
        <v>0</v>
      </c>
      <c r="H64" s="97">
        <f t="shared" si="12"/>
        <v>0</v>
      </c>
      <c r="I64" s="97">
        <f t="shared" si="12"/>
        <v>0</v>
      </c>
      <c r="J64" s="97">
        <f t="shared" si="12"/>
        <v>0</v>
      </c>
      <c r="K64" s="97">
        <f t="shared" si="12"/>
        <v>0</v>
      </c>
      <c r="L64" s="97">
        <f t="shared" si="12"/>
        <v>0</v>
      </c>
      <c r="M64" s="97">
        <f t="shared" si="12"/>
        <v>0</v>
      </c>
      <c r="N64" s="97">
        <f t="shared" si="12"/>
        <v>0</v>
      </c>
      <c r="O64" s="96">
        <f>SUM(O65:O69)</f>
        <v>0</v>
      </c>
      <c r="P64" s="31"/>
    </row>
    <row r="65" spans="1:17" x14ac:dyDescent="0.3">
      <c r="A65" s="31"/>
      <c r="B65" s="28" t="str">
        <f>+Codigo!D54</f>
        <v>Cinema / Teatro / Shows</v>
      </c>
      <c r="C65" s="37">
        <f>SUMIF(Jan!$D$6:$D$75,"l1",(Jan!$G$6:$G$75))</f>
        <v>0</v>
      </c>
      <c r="D65" s="37">
        <f>SUMIF(Fev!$D$6:$D$75,"l1",(Fev!$G$6:$G$75))</f>
        <v>0</v>
      </c>
      <c r="E65" s="37">
        <f>SUMIF(Mar!$D$6:$D$75,"L1",(Mar!$G$6:$G$75))</f>
        <v>0</v>
      </c>
      <c r="F65" s="37">
        <f>SUMIF(Abr!$D$6:$D$75,"L1",(Abr!G$6:$G$75))</f>
        <v>0</v>
      </c>
      <c r="G65" s="37">
        <f>SUMIF(Mai!$D$6:$D$75,"L1",(Mai!$G$6:$G$75))</f>
        <v>0</v>
      </c>
      <c r="H65" s="37">
        <f>SUMIF(Jun!$D$6:$D$75,"L1",(Jun!$G$6:$G$75))</f>
        <v>0</v>
      </c>
      <c r="I65" s="37">
        <f>SUMIF(Jul!$D$6:$D$75,"L1",(Jul!$G$6:$G$75))</f>
        <v>0</v>
      </c>
      <c r="J65" s="37">
        <f>SUMIF(Ago!$D$6:$D$75,"L1",(Ago!$G$6:$G$75))</f>
        <v>0</v>
      </c>
      <c r="K65" s="37">
        <f>SUMIF(Set!$D$6:$D$75,"L1",(Set!$G$6:$G$75))</f>
        <v>0</v>
      </c>
      <c r="L65" s="37">
        <f>SUMIF(Out!$D$6:$D$75,"L1",(Out!$G$6:$G$75))</f>
        <v>0</v>
      </c>
      <c r="M65" s="37">
        <f>SUMIF(Nov!$D$6:$D$75,"L1",(Nov!$G$6:$G$75))</f>
        <v>0</v>
      </c>
      <c r="N65" s="37">
        <f>SUMIF(Dez!$D$6:$D$75,"L1",(Dez!$G$6:$G$75))</f>
        <v>0</v>
      </c>
      <c r="O65" s="151">
        <f>SUM(C65:N65)</f>
        <v>0</v>
      </c>
      <c r="P65" s="31"/>
    </row>
    <row r="66" spans="1:17" x14ac:dyDescent="0.3">
      <c r="A66" s="31"/>
      <c r="B66" s="28" t="str">
        <f>+Codigo!D55</f>
        <v xml:space="preserve">Livros / Revistas / Cd´s </v>
      </c>
      <c r="C66" s="37">
        <f>SUMIF(Jan!$D$6:$D$75,"l2",(Jan!$G$6:$G$75))</f>
        <v>0</v>
      </c>
      <c r="D66" s="37">
        <f>SUMIF(Fev!$D$6:$D$75,"l2",(Fev!$G$6:$G$75))</f>
        <v>0</v>
      </c>
      <c r="E66" s="37">
        <f>SUMIF(Mar!$D$6:$D$75,"L2",(Mar!$G$6:$G$75))</f>
        <v>0</v>
      </c>
      <c r="F66" s="37">
        <f>SUMIF(Abr!$D$6:$D$75,"L2",(Abr!G$6:$G$75))</f>
        <v>0</v>
      </c>
      <c r="G66" s="37">
        <f>SUMIF(Mai!$D$6:$D$75,"L2",(Mai!$G$6:$G$75))</f>
        <v>0</v>
      </c>
      <c r="H66" s="37">
        <f>SUMIF(Jun!$D$6:$D$75,"L2",(Jun!$G$6:$G$75))</f>
        <v>0</v>
      </c>
      <c r="I66" s="37">
        <f>SUMIF(Jul!$D$6:$D$75,"L2",(Jul!$G$6:$G$75))</f>
        <v>0</v>
      </c>
      <c r="J66" s="37">
        <f>SUMIF(Ago!$D$6:$D$75,"L2",(Ago!$G$6:$G$75))</f>
        <v>0</v>
      </c>
      <c r="K66" s="37">
        <f>SUMIF(Set!$D$6:$D$75,"L2",(Set!$G$6:$G$75))</f>
        <v>0</v>
      </c>
      <c r="L66" s="37">
        <f>SUMIF(Out!$D$6:$D$75,"L2",(Out!$G$6:$G$75))</f>
        <v>0</v>
      </c>
      <c r="M66" s="37">
        <f>SUMIF(Nov!$D$6:$D$75,"L2",(Nov!$G$6:$G$75))</f>
        <v>0</v>
      </c>
      <c r="N66" s="37">
        <f>SUMIF(Dez!$D$6:$D$75,"L2",(Dez!$G$6:$G$75))</f>
        <v>0</v>
      </c>
      <c r="O66" s="151">
        <f>SUM(C66:N66)</f>
        <v>0</v>
      </c>
      <c r="P66" s="31"/>
    </row>
    <row r="67" spans="1:17" x14ac:dyDescent="0.3">
      <c r="A67" s="31"/>
      <c r="B67" s="28" t="str">
        <f>+Codigo!D56</f>
        <v>Clube / Parques / Casa Noturna</v>
      </c>
      <c r="C67" s="37">
        <f>SUMIF(Jan!$D$6:$D$75,"l3",(Jan!$G$6:$G$75))</f>
        <v>0</v>
      </c>
      <c r="D67" s="37">
        <f>SUMIF(Fev!$D$6:$D$75,"l3",(Fev!$G$6:$G$75))</f>
        <v>0</v>
      </c>
      <c r="E67" s="37">
        <f>SUMIF(Mar!$D$6:$D$75,"L3",(Mar!$G$6:$G$75))</f>
        <v>0</v>
      </c>
      <c r="F67" s="37">
        <f>SUMIF(Abr!$D$6:$D$75,"L3",(Abr!G$6:$G$75))</f>
        <v>0</v>
      </c>
      <c r="G67" s="37">
        <f>SUMIF(Mai!$D$6:$D$75,"L3",(Mai!$G$6:$G$75))</f>
        <v>0</v>
      </c>
      <c r="H67" s="37">
        <f>SUMIF(Jun!$D$6:$D$75,"L3",(Jun!$G$6:$G$75))</f>
        <v>0</v>
      </c>
      <c r="I67" s="37">
        <f>SUMIF(Jul!$D$6:$D$75,"L3",(Jul!$G$6:$G$75))</f>
        <v>0</v>
      </c>
      <c r="J67" s="37">
        <f>SUMIF(Ago!$D$6:$D$75,"L3",(Ago!$G$6:$G$75))</f>
        <v>0</v>
      </c>
      <c r="K67" s="37">
        <f>SUMIF(Set!$D$6:$D$75,"L3",(Set!$G$6:$G$75))</f>
        <v>0</v>
      </c>
      <c r="L67" s="37">
        <f>SUMIF(Out!$D$6:$D$75,"L3",(Out!$G$6:$G$75))</f>
        <v>0</v>
      </c>
      <c r="M67" s="37">
        <f>SUMIF(Nov!$D$6:$D$75,"L3",(Nov!$G$6:$G$75))</f>
        <v>0</v>
      </c>
      <c r="N67" s="37">
        <f>SUMIF(Dez!$D$6:$D$75,"L3",(Dez!$G$6:$G$75))</f>
        <v>0</v>
      </c>
      <c r="O67" s="151">
        <f>SUM(C67:N67)</f>
        <v>0</v>
      </c>
      <c r="P67" s="31"/>
    </row>
    <row r="68" spans="1:17" x14ac:dyDescent="0.3">
      <c r="A68" s="31"/>
      <c r="B68" s="28" t="str">
        <f>+Codigo!D57</f>
        <v xml:space="preserve">Viagens </v>
      </c>
      <c r="C68" s="37">
        <f>SUMIF(Jan!$D$6:$D$75,"l4",(Jan!$G$6:$G$75))</f>
        <v>0</v>
      </c>
      <c r="D68" s="37">
        <f>SUMIF(Fev!$D$6:$D$75,"l4",(Fev!$G$6:$G$75))</f>
        <v>0</v>
      </c>
      <c r="E68" s="37">
        <f>SUMIF(Mar!$D$6:$D$75,"L4",(Mar!$G$6:$G$75))</f>
        <v>0</v>
      </c>
      <c r="F68" s="37">
        <f>SUMIF(Abr!$D$6:$D$75,"L4",(Abr!G$6:$G$75))</f>
        <v>0</v>
      </c>
      <c r="G68" s="37">
        <f>SUMIF(Mai!$D$6:$D$75,"L4",(Mai!$G$6:$G$75))</f>
        <v>0</v>
      </c>
      <c r="H68" s="37">
        <f>SUMIF(Jun!$D$6:$D$75,"L4",(Jun!$G$6:$G$75))</f>
        <v>0</v>
      </c>
      <c r="I68" s="37">
        <f>SUMIF(Jul!$D$6:$D$75,"L4",(Jul!$G$6:$G$75))</f>
        <v>0</v>
      </c>
      <c r="J68" s="37">
        <f>SUMIF(Ago!$D$6:$D$75,"L4",(Ago!$G$6:$G$75))</f>
        <v>0</v>
      </c>
      <c r="K68" s="37">
        <f>SUMIF(Set!$D$6:$D$75,"L4",(Set!$G$6:$G$75))</f>
        <v>0</v>
      </c>
      <c r="L68" s="37">
        <f>SUMIF(Out!$D$6:$D$75,"L4",(Out!$G$6:$G$75))</f>
        <v>0</v>
      </c>
      <c r="M68" s="37">
        <f>SUMIF(Nov!$D$6:$D$75,"L4",(Nov!$G$6:$G$75))</f>
        <v>0</v>
      </c>
      <c r="N68" s="37">
        <f>SUMIF(Dez!$D$6:$D$75,"L4",(Dez!$G$6:$G$75))</f>
        <v>0</v>
      </c>
      <c r="O68" s="151">
        <f>SUM(C68:N68)</f>
        <v>0</v>
      </c>
      <c r="P68" s="31"/>
    </row>
    <row r="69" spans="1:17" x14ac:dyDescent="0.3">
      <c r="A69" s="31"/>
      <c r="B69" s="28" t="str">
        <f>+Codigo!D58</f>
        <v>Restaurantes / Bares / Festas</v>
      </c>
      <c r="C69" s="37">
        <f>SUMIF(Jan!$D$6:$D$75,"l5",(Jan!$G$6:$G$75))</f>
        <v>0</v>
      </c>
      <c r="D69" s="37">
        <f>SUMIF(Fev!$D$6:$D$75,"l5",(Fev!$G$6:$G$75))</f>
        <v>0</v>
      </c>
      <c r="E69" s="37">
        <f>SUMIF(Mar!$D$6:$D$75,"L5",(Mar!$G$6:$G$75))</f>
        <v>0</v>
      </c>
      <c r="F69" s="37">
        <f>SUMIF(Abr!$D$6:$D$75,"L5",(Abr!G$6:$G$75))</f>
        <v>0</v>
      </c>
      <c r="G69" s="37">
        <f>SUMIF(Mai!$D$6:$D$75,"L5",(Mai!$G$6:$G$75))</f>
        <v>0</v>
      </c>
      <c r="H69" s="37">
        <f>SUMIF(Jun!$D$6:$D$75,"L5",(Jun!$G$6:$G$75))</f>
        <v>0</v>
      </c>
      <c r="I69" s="37">
        <f>SUMIF(Jul!$D$6:$D$75,"L5",(Jul!$G$6:$G$75))</f>
        <v>0</v>
      </c>
      <c r="J69" s="37">
        <f>SUMIF(Ago!$D$6:$D$75,"L5",(Ago!$G$6:$G$75))</f>
        <v>0</v>
      </c>
      <c r="K69" s="37">
        <f>SUMIF(Set!$D$6:$D$75,"L5",(Set!$G$6:$G$75))</f>
        <v>0</v>
      </c>
      <c r="L69" s="37">
        <f>SUMIF(Out!$D$6:$D$75,"L5",(Out!$G$6:$G$75))</f>
        <v>0</v>
      </c>
      <c r="M69" s="37">
        <f>SUMIF(Nov!$D$6:$D$75,"L5",(Nov!$G$6:$G$75))</f>
        <v>0</v>
      </c>
      <c r="N69" s="37">
        <f>SUMIF(Dez!$D$6:$D$75,"L5",(Dez!$G$6:$G$75))</f>
        <v>0</v>
      </c>
      <c r="O69" s="151">
        <f>SUM(C69:N69)</f>
        <v>0</v>
      </c>
      <c r="P69" s="31"/>
    </row>
    <row r="70" spans="1:17" ht="15" customHeight="1" x14ac:dyDescent="0.3">
      <c r="A70" s="31"/>
      <c r="B70" s="98" t="str">
        <f>+Codigo!C59</f>
        <v>Serviços Financeiros</v>
      </c>
      <c r="C70" s="97">
        <f>SUM(C71:C77)</f>
        <v>500</v>
      </c>
      <c r="D70" s="97">
        <f t="shared" ref="D70:N70" si="13">SUM(D71:D77)</f>
        <v>0</v>
      </c>
      <c r="E70" s="97">
        <f t="shared" si="13"/>
        <v>0</v>
      </c>
      <c r="F70" s="97">
        <f t="shared" si="13"/>
        <v>0</v>
      </c>
      <c r="G70" s="97">
        <f t="shared" si="13"/>
        <v>0</v>
      </c>
      <c r="H70" s="97">
        <f t="shared" si="13"/>
        <v>0</v>
      </c>
      <c r="I70" s="97">
        <f t="shared" si="13"/>
        <v>0</v>
      </c>
      <c r="J70" s="97">
        <f t="shared" si="13"/>
        <v>0</v>
      </c>
      <c r="K70" s="97">
        <f t="shared" si="13"/>
        <v>0</v>
      </c>
      <c r="L70" s="97">
        <f t="shared" si="13"/>
        <v>0</v>
      </c>
      <c r="M70" s="97">
        <f t="shared" si="13"/>
        <v>0</v>
      </c>
      <c r="N70" s="97">
        <f t="shared" si="13"/>
        <v>0</v>
      </c>
      <c r="O70" s="96">
        <f>SUM(O71:O77)</f>
        <v>500</v>
      </c>
      <c r="P70" s="31"/>
    </row>
    <row r="71" spans="1:17" x14ac:dyDescent="0.3">
      <c r="A71" s="31"/>
      <c r="B71" s="28" t="str">
        <f>+Codigo!D59</f>
        <v>Empréstimos</v>
      </c>
      <c r="C71" s="37">
        <f>SUMIF(Jan!$D$6:$D$75,"f1",(Jan!$G$6:$G$75))</f>
        <v>0</v>
      </c>
      <c r="D71" s="37">
        <f>SUMIF(Fev!$D$6:$D$75,"f1",(Fev!$G$6:$G$75))</f>
        <v>0</v>
      </c>
      <c r="E71" s="37">
        <f>SUMIF(Mar!$D$6:$D$75,"F1",(Mar!$G$6:$G$75))</f>
        <v>0</v>
      </c>
      <c r="F71" s="37">
        <f>SUMIF(Abr!$D$6:$D$75,"F1",(Abr!G$6:$G$75))</f>
        <v>0</v>
      </c>
      <c r="G71" s="37">
        <f>SUMIF(Mai!$D$6:$D$75,"F1",(Mai!$G$6:$G$75))</f>
        <v>0</v>
      </c>
      <c r="H71" s="37">
        <f>SUMIF(Jun!$D$6:$D$75,"F1",(Jun!$G$6:$G$75))</f>
        <v>0</v>
      </c>
      <c r="I71" s="37">
        <f>SUMIF(Jul!$D$6:$D$75,"F1",(Jul!$G$6:$G$75))</f>
        <v>0</v>
      </c>
      <c r="J71" s="37">
        <f>SUMIF(Ago!$D$6:$D$75,"F1",(Ago!$G$6:$G$75))</f>
        <v>0</v>
      </c>
      <c r="K71" s="37">
        <f>SUMIF(Set!$D$6:$D$75,"F1",(Set!$G$6:$G$75))</f>
        <v>0</v>
      </c>
      <c r="L71" s="37">
        <f>SUMIF(Out!$D$6:$D$75,"F1",(Out!$G$6:$G$75))</f>
        <v>0</v>
      </c>
      <c r="M71" s="37">
        <f>SUMIF(Nov!$D$6:$D$75,"F1",(Nov!$G$6:$G$75))</f>
        <v>0</v>
      </c>
      <c r="N71" s="37">
        <f>SUMIF(Dez!$D$6:$D$75,"F1",(Dez!$G$6:$G$75))</f>
        <v>0</v>
      </c>
      <c r="O71" s="152">
        <f t="shared" ref="O71:O77" si="14">SUM(C71:N71)</f>
        <v>0</v>
      </c>
      <c r="P71" s="31"/>
    </row>
    <row r="72" spans="1:17" x14ac:dyDescent="0.3">
      <c r="A72" s="31"/>
      <c r="B72" s="28" t="str">
        <f>+Codigo!D60</f>
        <v>Seguros (vida/residencial)</v>
      </c>
      <c r="C72" s="37">
        <f>SUMIF(Jan!$D$6:$D$75,"f2",(Jan!$G$6:$G$75))</f>
        <v>0</v>
      </c>
      <c r="D72" s="37">
        <f>SUMIF(Fev!$D$6:$D$75,"f2",(Fev!$G$6:$G$75))</f>
        <v>0</v>
      </c>
      <c r="E72" s="37">
        <f>SUMIF(Mar!$D$6:$D$75,"F2",(Mar!$G$6:$G$75))</f>
        <v>0</v>
      </c>
      <c r="F72" s="37">
        <f>SUMIF(Abr!$D$6:$D$75,"F2",(Abr!G$6:$G$75))</f>
        <v>0</v>
      </c>
      <c r="G72" s="37">
        <f>SUMIF(Mai!$D$6:$D$75,"F2",(Mai!$G$6:$G$75))</f>
        <v>0</v>
      </c>
      <c r="H72" s="37">
        <f>SUMIF(Jun!$D$6:$D$75,"F2",(Jun!$G$6:$G$75))</f>
        <v>0</v>
      </c>
      <c r="I72" s="37">
        <f>SUMIF(Jul!$D$6:$D$75,"F2",(Jul!$G$6:$G$75))</f>
        <v>0</v>
      </c>
      <c r="J72" s="37">
        <f>SUMIF(Ago!$D$6:$D$75,"F2",(Ago!$G$6:$G$75))</f>
        <v>0</v>
      </c>
      <c r="K72" s="37">
        <f>SUMIF(Set!$D$6:$D$75,"F2",(Set!$G$6:$G$75))</f>
        <v>0</v>
      </c>
      <c r="L72" s="37">
        <f>SUMIF(Out!$D$6:$D$75,"F2",(Out!$G$6:$G$75))</f>
        <v>0</v>
      </c>
      <c r="M72" s="37">
        <f>SUMIF(Nov!$D$6:$D$75,"F2",(Nov!$G$6:$G$75))</f>
        <v>0</v>
      </c>
      <c r="N72" s="37">
        <f>SUMIF(Dez!$D$6:$D$75,"F2",(Dez!$G$6:$G$75))</f>
        <v>0</v>
      </c>
      <c r="O72" s="152">
        <f t="shared" si="14"/>
        <v>0</v>
      </c>
      <c r="P72" s="31"/>
    </row>
    <row r="73" spans="1:17" x14ac:dyDescent="0.3">
      <c r="A73" s="31"/>
      <c r="B73" s="28" t="str">
        <f>+Codigo!D61</f>
        <v>Previdência privada</v>
      </c>
      <c r="C73" s="37">
        <f>SUMIF(Jan!$D$6:$D$75,"f3",(Jan!$G$6:$G$75))</f>
        <v>500</v>
      </c>
      <c r="D73" s="37">
        <f>SUMIF(Fev!$D$6:$D$75,"f3",(Fev!$G$6:$G$75))</f>
        <v>0</v>
      </c>
      <c r="E73" s="37">
        <f>SUMIF(Mar!$D$6:$D$75,"F3",(Mar!$G$6:$G$75))</f>
        <v>0</v>
      </c>
      <c r="F73" s="37">
        <f>SUMIF(Abr!$D$6:$D$75,"F3",(Abr!G$6:$G$75))</f>
        <v>0</v>
      </c>
      <c r="G73" s="37">
        <f>SUMIF(Mai!$D$6:$D$75,"F3",(Mai!$G$6:$G$75))</f>
        <v>0</v>
      </c>
      <c r="H73" s="37">
        <f>SUMIF(Jun!$D$6:$D$75,"F3",(Jun!$G$6:$G$75))</f>
        <v>0</v>
      </c>
      <c r="I73" s="37">
        <f>SUMIF(Jul!$D$6:$D$75,"F3",(Jul!$G$6:$G$75))</f>
        <v>0</v>
      </c>
      <c r="J73" s="37">
        <f>SUMIF(Ago!$D$6:$D$75,"F3",(Ago!$G$6:$G$75))</f>
        <v>0</v>
      </c>
      <c r="K73" s="37">
        <f>SUMIF(Set!$D$6:$D$75,"F3",(Set!$G$6:$G$75))</f>
        <v>0</v>
      </c>
      <c r="L73" s="37">
        <f>SUMIF(Out!$D$6:$D$75,"F3",(Out!$G$6:$G$75))</f>
        <v>0</v>
      </c>
      <c r="M73" s="37">
        <f>SUMIF(Nov!$D$6:$D$75,"F3",(Nov!$G$6:$G$75))</f>
        <v>0</v>
      </c>
      <c r="N73" s="37">
        <f>SUMIF(Dez!$D$6:$D$75,"F3",(Dez!$G$6:$G$75))</f>
        <v>0</v>
      </c>
      <c r="O73" s="152">
        <f t="shared" si="14"/>
        <v>500</v>
      </c>
      <c r="P73" s="31"/>
    </row>
    <row r="74" spans="1:17" x14ac:dyDescent="0.3">
      <c r="A74" s="31"/>
      <c r="B74" s="28" t="str">
        <f>+Codigo!D62</f>
        <v>Juros Cheque Especial</v>
      </c>
      <c r="C74" s="37">
        <f>SUMIF(Jan!$D$6:$D$75,"f4",(Jan!$G$6:$G$75))</f>
        <v>0</v>
      </c>
      <c r="D74" s="37">
        <f>SUMIF(Fev!$D$6:$D$75,"f4",(Fev!$G$6:$G$75))</f>
        <v>0</v>
      </c>
      <c r="E74" s="37">
        <f>SUMIF(Mar!$D$6:$D$75,"F4",(Mar!$G$6:$G$75))</f>
        <v>0</v>
      </c>
      <c r="F74" s="37">
        <f>SUMIF(Abr!$D$6:$D$75,"F4",(Abr!G$6:$G$75))</f>
        <v>0</v>
      </c>
      <c r="G74" s="37">
        <f>SUMIF(Mai!$D$6:$D$75,"F4",(Mai!$G$6:$G$75))</f>
        <v>0</v>
      </c>
      <c r="H74" s="37">
        <f>SUMIF(Jun!$D$6:$D$75,"F4",(Jun!$G$6:$G$75))</f>
        <v>0</v>
      </c>
      <c r="I74" s="37">
        <f>SUMIF(Jul!$D$6:$D$75,"F4",(Jul!$G$6:$G$75))</f>
        <v>0</v>
      </c>
      <c r="J74" s="37">
        <f>SUMIF(Ago!$D$6:$D$75,"F4",(Ago!$G$6:$G$75))</f>
        <v>0</v>
      </c>
      <c r="K74" s="37">
        <f>SUMIF(Set!$D$6:$D$75,"F4",(Set!$G$6:$G$75))</f>
        <v>0</v>
      </c>
      <c r="L74" s="37">
        <f>SUMIF(Out!$D$6:$D$75,"F4",(Out!$G$6:$G$75))</f>
        <v>0</v>
      </c>
      <c r="M74" s="37">
        <f>SUMIF(Nov!$D$6:$D$75,"F4",(Nov!$G$6:$G$75))</f>
        <v>0</v>
      </c>
      <c r="N74" s="37">
        <f>SUMIF(Dez!$D$6:$D$75,"F4",(Dez!$G$6:$G$75))</f>
        <v>0</v>
      </c>
      <c r="O74" s="152">
        <f t="shared" si="14"/>
        <v>0</v>
      </c>
      <c r="P74" s="31"/>
    </row>
    <row r="75" spans="1:17" x14ac:dyDescent="0.3">
      <c r="A75" s="31"/>
      <c r="B75" s="28" t="str">
        <f>+Codigo!D63</f>
        <v>Tarifas bancárias</v>
      </c>
      <c r="C75" s="37">
        <f>SUMIF(Jan!$D$6:$D$75,"f5",(Jan!$G$6:$G$75))</f>
        <v>0</v>
      </c>
      <c r="D75" s="37">
        <f>SUMIF(Fev!$D$6:$D$75,"f5",(Fev!$G$6:$G$75))</f>
        <v>0</v>
      </c>
      <c r="E75" s="37">
        <f>SUMIF(Mar!$D$6:$D$75,"F5",(Mar!$G$6:$G$75))</f>
        <v>0</v>
      </c>
      <c r="F75" s="37">
        <f>SUMIF(Abr!$D$6:$D$75,"F5",(Abr!G$6:$G$75))</f>
        <v>0</v>
      </c>
      <c r="G75" s="37">
        <f>SUMIF(Mai!$D$6:$D$75,"F5",(Mai!$G$6:$G$75))</f>
        <v>0</v>
      </c>
      <c r="H75" s="37">
        <f>SUMIF(Jun!$D$6:$D$75,"F5",(Jun!$G$6:$G$75))</f>
        <v>0</v>
      </c>
      <c r="I75" s="37">
        <f>SUMIF(Jul!$D$6:$D$75,"F5",(Jul!$G$6:$G$75))</f>
        <v>0</v>
      </c>
      <c r="J75" s="37">
        <f>SUMIF(Ago!$D$6:$D$75,"F5",(Ago!$G$6:$G$75))</f>
        <v>0</v>
      </c>
      <c r="K75" s="37">
        <f>SUMIF(Set!$D$6:$D$75,"F5",(Set!$G$6:$G$75))</f>
        <v>0</v>
      </c>
      <c r="L75" s="37">
        <f>SUMIF(Out!$D$6:$D$75,"F5",(Out!$G$6:$G$75))</f>
        <v>0</v>
      </c>
      <c r="M75" s="37">
        <f>SUMIF(Nov!$D$6:$D$75,"F5",(Nov!$G$6:$G$75))</f>
        <v>0</v>
      </c>
      <c r="N75" s="37">
        <f>SUMIF(Dez!$D$6:$D$75,"F5",(Dez!$G$6:$G$75))</f>
        <v>0</v>
      </c>
      <c r="O75" s="152">
        <f t="shared" si="14"/>
        <v>0</v>
      </c>
      <c r="P75" s="31"/>
    </row>
    <row r="76" spans="1:17" x14ac:dyDescent="0.3">
      <c r="A76" s="31"/>
      <c r="B76" s="28" t="str">
        <f>+Codigo!D64</f>
        <v>Financiamento de veículo</v>
      </c>
      <c r="C76" s="37">
        <f>SUMIF(Jan!$D$6:$D$75,"f6",(Jan!$G$6:$G$75))</f>
        <v>0</v>
      </c>
      <c r="D76" s="37">
        <f>SUMIF(Fev!$D$6:$D$75,"f6",(Fev!$G$6:$G$75))</f>
        <v>0</v>
      </c>
      <c r="E76" s="37">
        <f>SUMIF(Mar!$D$6:$D$75,"F6",(Mar!$G$6:$G$75))</f>
        <v>0</v>
      </c>
      <c r="F76" s="37">
        <f>SUMIF(Abr!$D$6:$D$75,"F6",(Abr!G$6:$G$75))</f>
        <v>0</v>
      </c>
      <c r="G76" s="37">
        <f>SUMIF(Mai!$D$6:$D$75,"F6",(Mai!$G$6:$G$75))</f>
        <v>0</v>
      </c>
      <c r="H76" s="37">
        <f>SUMIF(Jun!$D$6:$D$75,"F6",(Jun!$G$6:$G$75))</f>
        <v>0</v>
      </c>
      <c r="I76" s="37">
        <f>SUMIF(Jul!$D$6:$D$75,"F6",(Jul!$G$6:$G$75))</f>
        <v>0</v>
      </c>
      <c r="J76" s="37">
        <f>SUMIF(Ago!$D$6:$D$75,"F6",(Ago!$G$6:$G$75))</f>
        <v>0</v>
      </c>
      <c r="K76" s="37">
        <f>SUMIF(Set!$D$6:$D$75,"F6",(Set!$G$6:$G$75))</f>
        <v>0</v>
      </c>
      <c r="L76" s="37">
        <f>SUMIF(Out!$D$6:$D$75,"F6",(Out!$G$6:$G$75))</f>
        <v>0</v>
      </c>
      <c r="M76" s="37">
        <f>SUMIF(Nov!$D$6:$D$75,"F6",(Nov!$G$6:$G$75))</f>
        <v>0</v>
      </c>
      <c r="N76" s="37">
        <f>SUMIF(Dez!$D$6:$D$75,"F6",(Dez!$G$6:$G$75))</f>
        <v>0</v>
      </c>
      <c r="O76" s="152">
        <f t="shared" si="14"/>
        <v>0</v>
      </c>
      <c r="P76" s="31"/>
    </row>
    <row r="77" spans="1:17" x14ac:dyDescent="0.3">
      <c r="A77" s="31"/>
      <c r="B77" s="28" t="str">
        <f>+Codigo!D66</f>
        <v xml:space="preserve">Imposto de Renda a Pagar </v>
      </c>
      <c r="C77" s="37">
        <f>SUMIF(Jan!$D$6:$D$75,"f8",(Jan!$G$6:$G$75))</f>
        <v>0</v>
      </c>
      <c r="D77" s="37">
        <f>SUMIF(Fev!$D$6:$D$75,"f8",(Fev!$G$6:$G$75))</f>
        <v>0</v>
      </c>
      <c r="E77" s="37">
        <f>SUMIF(Mar!$D$6:$D$75,"F8",(Mar!$G$6:$G$75))</f>
        <v>0</v>
      </c>
      <c r="F77" s="37">
        <f>SUMIF(Abr!$D$6:$D$75,"F8",(Abr!G$6:$G$75))</f>
        <v>0</v>
      </c>
      <c r="G77" s="37">
        <f>SUMIF(Mai!$D$6:$D$75,"F8",(Mai!$G$6:$G$75))</f>
        <v>0</v>
      </c>
      <c r="H77" s="37">
        <f>SUMIF(Jun!$D$6:$D$75,"F8",(Jun!$G$6:$G$75))</f>
        <v>0</v>
      </c>
      <c r="I77" s="37">
        <f>SUMIF(Jul!$D$6:$D$75,"F8",(Jul!$G$6:$G$75))</f>
        <v>0</v>
      </c>
      <c r="J77" s="37">
        <f>SUMIF(Ago!$D$6:$D$75,"F8",(Ago!$G$6:$G$75))</f>
        <v>0</v>
      </c>
      <c r="K77" s="37">
        <f>SUMIF(Set!$D$6:$D$75,"F8",(Set!$G$6:$G$75))</f>
        <v>0</v>
      </c>
      <c r="L77" s="37">
        <f>SUMIF(Out!$D$6:$D$75,"F8",(Out!$G$6:$G$75))</f>
        <v>0</v>
      </c>
      <c r="M77" s="37">
        <f>SUMIF(Nov!$D$6:$D$75,"F8",(Nov!$G$6:$G$75))</f>
        <v>0</v>
      </c>
      <c r="N77" s="37">
        <f>SUMIF(Dez!$D$6:$D$75,"F8",(Dez!$G$6:$G$75))</f>
        <v>0</v>
      </c>
      <c r="O77" s="152">
        <f t="shared" si="14"/>
        <v>0</v>
      </c>
      <c r="P77" s="31"/>
    </row>
    <row r="78" spans="1:17" s="27" customFormat="1" ht="17.25" customHeight="1" x14ac:dyDescent="0.3">
      <c r="A78" s="25"/>
      <c r="B78" s="88" t="s">
        <v>83</v>
      </c>
      <c r="C78" s="44">
        <f t="shared" ref="C78:O78" si="15">+C13+C19+C32+C37+C42+C49+C59+C64+C70</f>
        <v>1650</v>
      </c>
      <c r="D78" s="44">
        <f t="shared" si="15"/>
        <v>0</v>
      </c>
      <c r="E78" s="44">
        <f t="shared" si="15"/>
        <v>0</v>
      </c>
      <c r="F78" s="44">
        <f t="shared" si="15"/>
        <v>0</v>
      </c>
      <c r="G78" s="44">
        <f t="shared" si="15"/>
        <v>0</v>
      </c>
      <c r="H78" s="44">
        <f t="shared" si="15"/>
        <v>0</v>
      </c>
      <c r="I78" s="44">
        <f t="shared" si="15"/>
        <v>0</v>
      </c>
      <c r="J78" s="44">
        <f t="shared" si="15"/>
        <v>0</v>
      </c>
      <c r="K78" s="44">
        <f t="shared" si="15"/>
        <v>0</v>
      </c>
      <c r="L78" s="44">
        <f t="shared" si="15"/>
        <v>0</v>
      </c>
      <c r="M78" s="44">
        <f t="shared" si="15"/>
        <v>0</v>
      </c>
      <c r="N78" s="44">
        <f t="shared" si="15"/>
        <v>15</v>
      </c>
      <c r="O78" s="44">
        <f t="shared" si="15"/>
        <v>1665</v>
      </c>
      <c r="P78" s="31"/>
      <c r="Q78" s="26"/>
    </row>
    <row r="79" spans="1:17" s="102" customFormat="1" ht="3" customHeight="1" x14ac:dyDescent="0.3">
      <c r="A79" s="25"/>
      <c r="B79" s="105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31"/>
      <c r="Q79" s="101"/>
    </row>
    <row r="80" spans="1:17" ht="15.6" x14ac:dyDescent="0.3">
      <c r="A80" s="25"/>
      <c r="B80" s="103" t="s">
        <v>234</v>
      </c>
      <c r="C80" s="104">
        <f t="shared" ref="C80:O80" si="16">+C10-C78</f>
        <v>-650</v>
      </c>
      <c r="D80" s="104">
        <f t="shared" si="16"/>
        <v>0</v>
      </c>
      <c r="E80" s="104">
        <f t="shared" si="16"/>
        <v>0</v>
      </c>
      <c r="F80" s="104">
        <f t="shared" si="16"/>
        <v>0</v>
      </c>
      <c r="G80" s="104">
        <f t="shared" si="16"/>
        <v>0</v>
      </c>
      <c r="H80" s="104">
        <f t="shared" si="16"/>
        <v>0</v>
      </c>
      <c r="I80" s="104">
        <f t="shared" si="16"/>
        <v>0</v>
      </c>
      <c r="J80" s="104">
        <f t="shared" si="16"/>
        <v>0</v>
      </c>
      <c r="K80" s="104">
        <f t="shared" si="16"/>
        <v>0</v>
      </c>
      <c r="L80" s="104">
        <f t="shared" si="16"/>
        <v>0</v>
      </c>
      <c r="M80" s="104">
        <f t="shared" si="16"/>
        <v>0</v>
      </c>
      <c r="N80" s="104">
        <f t="shared" si="16"/>
        <v>735</v>
      </c>
      <c r="O80" s="104">
        <f t="shared" si="16"/>
        <v>85</v>
      </c>
      <c r="P80" s="31"/>
    </row>
    <row r="81" spans="1:17" ht="5.25" customHeight="1" x14ac:dyDescent="0.35">
      <c r="A81" s="25"/>
      <c r="B81" s="34"/>
      <c r="O81" s="21"/>
      <c r="P81" s="31"/>
      <c r="Q81" s="19"/>
    </row>
    <row r="82" spans="1:17" s="27" customFormat="1" ht="15.6" x14ac:dyDescent="0.3">
      <c r="A82" s="25"/>
      <c r="B82" s="88" t="s">
        <v>242</v>
      </c>
      <c r="C82" s="44">
        <f>+C10-C78</f>
        <v>-650</v>
      </c>
      <c r="D82" s="44">
        <f>+D80+C82</f>
        <v>-650</v>
      </c>
      <c r="E82" s="44">
        <f t="shared" ref="E82:N82" si="17">+E80+D82</f>
        <v>-650</v>
      </c>
      <c r="F82" s="44">
        <f t="shared" si="17"/>
        <v>-650</v>
      </c>
      <c r="G82" s="44">
        <f t="shared" si="17"/>
        <v>-650</v>
      </c>
      <c r="H82" s="44">
        <f t="shared" si="17"/>
        <v>-650</v>
      </c>
      <c r="I82" s="44">
        <f t="shared" si="17"/>
        <v>-650</v>
      </c>
      <c r="J82" s="44">
        <f t="shared" si="17"/>
        <v>-650</v>
      </c>
      <c r="K82" s="44">
        <f t="shared" si="17"/>
        <v>-650</v>
      </c>
      <c r="L82" s="44">
        <f t="shared" si="17"/>
        <v>-650</v>
      </c>
      <c r="M82" s="44">
        <f t="shared" si="17"/>
        <v>-650</v>
      </c>
      <c r="N82" s="44">
        <f t="shared" si="17"/>
        <v>85</v>
      </c>
      <c r="O82" s="44"/>
      <c r="P82" s="31"/>
      <c r="Q82" s="26"/>
    </row>
    <row r="83" spans="1:17" s="27" customFormat="1" x14ac:dyDescent="0.3">
      <c r="A83"/>
      <c r="B83"/>
      <c r="C83" s="258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17"/>
      <c r="P83"/>
      <c r="Q83" s="26"/>
    </row>
    <row r="84" spans="1:17" ht="25.8" x14ac:dyDescent="0.3">
      <c r="B84" s="87" t="s">
        <v>238</v>
      </c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5"/>
      <c r="O84" s="86"/>
      <c r="P84" s="84"/>
    </row>
    <row r="85" spans="1:17" ht="14.25" customHeight="1" x14ac:dyDescent="0.3">
      <c r="A85" s="24"/>
      <c r="B85" s="83" t="s">
        <v>236</v>
      </c>
      <c r="C85" s="23" t="s">
        <v>51</v>
      </c>
      <c r="D85" s="23" t="s">
        <v>52</v>
      </c>
      <c r="E85" s="23" t="s">
        <v>53</v>
      </c>
      <c r="F85" s="23" t="s">
        <v>54</v>
      </c>
      <c r="G85" s="23" t="s">
        <v>55</v>
      </c>
      <c r="H85" s="23" t="s">
        <v>56</v>
      </c>
      <c r="I85" s="23" t="s">
        <v>57</v>
      </c>
      <c r="J85" s="23" t="s">
        <v>58</v>
      </c>
      <c r="K85" s="23" t="s">
        <v>59</v>
      </c>
      <c r="L85" s="23" t="s">
        <v>60</v>
      </c>
      <c r="M85" s="23" t="s">
        <v>61</v>
      </c>
      <c r="N85" s="23" t="s">
        <v>62</v>
      </c>
      <c r="O85" s="23" t="s">
        <v>268</v>
      </c>
      <c r="P85" s="24"/>
    </row>
    <row r="86" spans="1:17" x14ac:dyDescent="0.3">
      <c r="A86" s="30"/>
      <c r="B86" s="45" t="str">
        <f>+B3</f>
        <v>Receita</v>
      </c>
      <c r="C86" s="45">
        <f t="shared" ref="C86:N86" si="18">+C10</f>
        <v>1000</v>
      </c>
      <c r="D86" s="45">
        <f t="shared" si="18"/>
        <v>0</v>
      </c>
      <c r="E86" s="45">
        <f t="shared" si="18"/>
        <v>0</v>
      </c>
      <c r="F86" s="45">
        <f t="shared" si="18"/>
        <v>0</v>
      </c>
      <c r="G86" s="45">
        <f t="shared" si="18"/>
        <v>0</v>
      </c>
      <c r="H86" s="45">
        <f t="shared" si="18"/>
        <v>0</v>
      </c>
      <c r="I86" s="45">
        <f t="shared" si="18"/>
        <v>0</v>
      </c>
      <c r="J86" s="45">
        <f t="shared" si="18"/>
        <v>0</v>
      </c>
      <c r="K86" s="45">
        <f t="shared" si="18"/>
        <v>0</v>
      </c>
      <c r="L86" s="45">
        <f t="shared" si="18"/>
        <v>0</v>
      </c>
      <c r="M86" s="45">
        <f t="shared" si="18"/>
        <v>0</v>
      </c>
      <c r="N86" s="45">
        <f t="shared" si="18"/>
        <v>750</v>
      </c>
      <c r="O86" s="92">
        <f>SUM(C86:N86)</f>
        <v>1750</v>
      </c>
      <c r="P86" s="30"/>
    </row>
    <row r="87" spans="1:17" ht="3.75" customHeight="1" x14ac:dyDescent="0.3">
      <c r="A87" s="30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30"/>
    </row>
    <row r="88" spans="1:17" x14ac:dyDescent="0.3">
      <c r="A88" s="30"/>
      <c r="B88" s="91" t="s">
        <v>235</v>
      </c>
      <c r="C88" s="91">
        <f>SUM(C89:C97)</f>
        <v>1650</v>
      </c>
      <c r="D88" s="91">
        <f>SUM(D89:D97)</f>
        <v>0</v>
      </c>
      <c r="E88" s="91">
        <f t="shared" ref="E88:N88" si="19">SUM(E89:E97)</f>
        <v>0</v>
      </c>
      <c r="F88" s="91">
        <f t="shared" si="19"/>
        <v>0</v>
      </c>
      <c r="G88" s="91">
        <f t="shared" si="19"/>
        <v>0</v>
      </c>
      <c r="H88" s="91">
        <f t="shared" si="19"/>
        <v>0</v>
      </c>
      <c r="I88" s="91">
        <f t="shared" si="19"/>
        <v>0</v>
      </c>
      <c r="J88" s="91">
        <f t="shared" si="19"/>
        <v>0</v>
      </c>
      <c r="K88" s="91">
        <f t="shared" si="19"/>
        <v>0</v>
      </c>
      <c r="L88" s="91">
        <f t="shared" si="19"/>
        <v>0</v>
      </c>
      <c r="M88" s="91">
        <f t="shared" si="19"/>
        <v>0</v>
      </c>
      <c r="N88" s="91">
        <f t="shared" si="19"/>
        <v>15</v>
      </c>
      <c r="O88" s="92">
        <f>SUM(O89:O97)</f>
        <v>1665</v>
      </c>
      <c r="P88" s="30"/>
    </row>
    <row r="89" spans="1:17" ht="15" customHeight="1" x14ac:dyDescent="0.3">
      <c r="A89" s="31"/>
      <c r="B89" s="37" t="str">
        <f>+B13</f>
        <v>Alimentação</v>
      </c>
      <c r="C89" s="37">
        <f>+C13</f>
        <v>1150</v>
      </c>
      <c r="D89" s="37">
        <f>+D13</f>
        <v>0</v>
      </c>
      <c r="E89" s="37">
        <f t="shared" ref="E89:N89" si="20">+E13</f>
        <v>0</v>
      </c>
      <c r="F89" s="37">
        <f t="shared" si="20"/>
        <v>0</v>
      </c>
      <c r="G89" s="37">
        <f t="shared" si="20"/>
        <v>0</v>
      </c>
      <c r="H89" s="37">
        <f t="shared" si="20"/>
        <v>0</v>
      </c>
      <c r="I89" s="37">
        <f t="shared" si="20"/>
        <v>0</v>
      </c>
      <c r="J89" s="37">
        <f t="shared" si="20"/>
        <v>0</v>
      </c>
      <c r="K89" s="37">
        <f t="shared" si="20"/>
        <v>0</v>
      </c>
      <c r="L89" s="37">
        <f t="shared" si="20"/>
        <v>0</v>
      </c>
      <c r="M89" s="37">
        <f t="shared" si="20"/>
        <v>0</v>
      </c>
      <c r="N89" s="37">
        <f t="shared" si="20"/>
        <v>0</v>
      </c>
      <c r="O89" s="92">
        <f>SUM(C89:N89)</f>
        <v>1150</v>
      </c>
      <c r="P89" s="31"/>
    </row>
    <row r="90" spans="1:17" ht="15" customHeight="1" x14ac:dyDescent="0.3">
      <c r="A90" s="31"/>
      <c r="B90" s="37" t="str">
        <f>+B19</f>
        <v>Moradia</v>
      </c>
      <c r="C90" s="37">
        <f>+C19</f>
        <v>0</v>
      </c>
      <c r="D90" s="37">
        <f>+D19</f>
        <v>0</v>
      </c>
      <c r="E90" s="37">
        <f t="shared" ref="E90:N90" si="21">+E19</f>
        <v>0</v>
      </c>
      <c r="F90" s="37">
        <f t="shared" si="21"/>
        <v>0</v>
      </c>
      <c r="G90" s="37">
        <f t="shared" si="21"/>
        <v>0</v>
      </c>
      <c r="H90" s="37">
        <f t="shared" si="21"/>
        <v>0</v>
      </c>
      <c r="I90" s="37">
        <f t="shared" si="21"/>
        <v>0</v>
      </c>
      <c r="J90" s="37">
        <f t="shared" si="21"/>
        <v>0</v>
      </c>
      <c r="K90" s="37">
        <f t="shared" si="21"/>
        <v>0</v>
      </c>
      <c r="L90" s="37">
        <f t="shared" si="21"/>
        <v>0</v>
      </c>
      <c r="M90" s="37">
        <f t="shared" si="21"/>
        <v>0</v>
      </c>
      <c r="N90" s="37">
        <f t="shared" si="21"/>
        <v>0</v>
      </c>
      <c r="O90" s="92">
        <f t="shared" ref="O90:O97" si="22">SUM(C90:N90)</f>
        <v>0</v>
      </c>
      <c r="P90" s="31"/>
    </row>
    <row r="91" spans="1:17" ht="15" customHeight="1" x14ac:dyDescent="0.3">
      <c r="A91" s="31"/>
      <c r="B91" s="37" t="str">
        <f>+B32</f>
        <v>Educação</v>
      </c>
      <c r="C91" s="37">
        <f>+C32</f>
        <v>0</v>
      </c>
      <c r="D91" s="37">
        <f>+D32</f>
        <v>0</v>
      </c>
      <c r="E91" s="37">
        <f t="shared" ref="E91:N91" si="23">+E32</f>
        <v>0</v>
      </c>
      <c r="F91" s="37">
        <f t="shared" si="23"/>
        <v>0</v>
      </c>
      <c r="G91" s="37">
        <f t="shared" si="23"/>
        <v>0</v>
      </c>
      <c r="H91" s="37">
        <f t="shared" si="23"/>
        <v>0</v>
      </c>
      <c r="I91" s="37">
        <f t="shared" si="23"/>
        <v>0</v>
      </c>
      <c r="J91" s="37">
        <f t="shared" si="23"/>
        <v>0</v>
      </c>
      <c r="K91" s="37">
        <f t="shared" si="23"/>
        <v>0</v>
      </c>
      <c r="L91" s="37">
        <f t="shared" si="23"/>
        <v>0</v>
      </c>
      <c r="M91" s="37">
        <f t="shared" si="23"/>
        <v>0</v>
      </c>
      <c r="N91" s="37">
        <f t="shared" si="23"/>
        <v>0</v>
      </c>
      <c r="O91" s="92">
        <f t="shared" si="22"/>
        <v>0</v>
      </c>
      <c r="P91" s="31"/>
    </row>
    <row r="92" spans="1:17" ht="15" customHeight="1" x14ac:dyDescent="0.3">
      <c r="A92" s="31"/>
      <c r="B92" s="37" t="str">
        <f>+B37</f>
        <v>Animal de Estimação</v>
      </c>
      <c r="C92" s="37">
        <f>+C37</f>
        <v>0</v>
      </c>
      <c r="D92" s="37">
        <f>+D37</f>
        <v>0</v>
      </c>
      <c r="E92" s="37">
        <f t="shared" ref="E92:N92" si="24">+E37</f>
        <v>0</v>
      </c>
      <c r="F92" s="37">
        <f t="shared" si="24"/>
        <v>0</v>
      </c>
      <c r="G92" s="37">
        <f t="shared" si="24"/>
        <v>0</v>
      </c>
      <c r="H92" s="37">
        <f t="shared" si="24"/>
        <v>0</v>
      </c>
      <c r="I92" s="37">
        <f t="shared" si="24"/>
        <v>0</v>
      </c>
      <c r="J92" s="37">
        <f t="shared" si="24"/>
        <v>0</v>
      </c>
      <c r="K92" s="37">
        <f t="shared" si="24"/>
        <v>0</v>
      </c>
      <c r="L92" s="37">
        <f t="shared" si="24"/>
        <v>0</v>
      </c>
      <c r="M92" s="37">
        <f t="shared" si="24"/>
        <v>0</v>
      </c>
      <c r="N92" s="37">
        <f t="shared" si="24"/>
        <v>0</v>
      </c>
      <c r="O92" s="92">
        <f t="shared" si="22"/>
        <v>0</v>
      </c>
      <c r="P92" s="31"/>
    </row>
    <row r="93" spans="1:17" ht="15" customHeight="1" x14ac:dyDescent="0.3">
      <c r="A93" s="31"/>
      <c r="B93" s="37" t="str">
        <f>+B42</f>
        <v>Saúde</v>
      </c>
      <c r="C93" s="37">
        <f>+C42</f>
        <v>0</v>
      </c>
      <c r="D93" s="37">
        <f>+D42</f>
        <v>0</v>
      </c>
      <c r="E93" s="37">
        <f t="shared" ref="E93:N93" si="25">+E42</f>
        <v>0</v>
      </c>
      <c r="F93" s="37">
        <f t="shared" si="25"/>
        <v>0</v>
      </c>
      <c r="G93" s="37">
        <f t="shared" si="25"/>
        <v>0</v>
      </c>
      <c r="H93" s="37">
        <f t="shared" si="25"/>
        <v>0</v>
      </c>
      <c r="I93" s="37">
        <f t="shared" si="25"/>
        <v>0</v>
      </c>
      <c r="J93" s="37">
        <f t="shared" si="25"/>
        <v>0</v>
      </c>
      <c r="K93" s="37">
        <f t="shared" si="25"/>
        <v>0</v>
      </c>
      <c r="L93" s="37">
        <f t="shared" si="25"/>
        <v>0</v>
      </c>
      <c r="M93" s="37">
        <f t="shared" si="25"/>
        <v>0</v>
      </c>
      <c r="N93" s="37">
        <f t="shared" si="25"/>
        <v>0</v>
      </c>
      <c r="O93" s="92">
        <f t="shared" si="22"/>
        <v>0</v>
      </c>
      <c r="P93" s="31"/>
    </row>
    <row r="94" spans="1:17" ht="15" customHeight="1" x14ac:dyDescent="0.3">
      <c r="A94" s="31"/>
      <c r="B94" s="37" t="str">
        <f>+B49</f>
        <v>Transporte</v>
      </c>
      <c r="C94" s="37">
        <f>+C49</f>
        <v>0</v>
      </c>
      <c r="D94" s="37">
        <f>+D49</f>
        <v>0</v>
      </c>
      <c r="E94" s="37">
        <f t="shared" ref="E94:N94" si="26">+E49</f>
        <v>0</v>
      </c>
      <c r="F94" s="37">
        <f t="shared" si="26"/>
        <v>0</v>
      </c>
      <c r="G94" s="37">
        <f t="shared" si="26"/>
        <v>0</v>
      </c>
      <c r="H94" s="37">
        <f t="shared" si="26"/>
        <v>0</v>
      </c>
      <c r="I94" s="37">
        <f t="shared" si="26"/>
        <v>0</v>
      </c>
      <c r="J94" s="37">
        <f t="shared" si="26"/>
        <v>0</v>
      </c>
      <c r="K94" s="37">
        <f t="shared" si="26"/>
        <v>0</v>
      </c>
      <c r="L94" s="37">
        <f t="shared" si="26"/>
        <v>0</v>
      </c>
      <c r="M94" s="37">
        <f t="shared" si="26"/>
        <v>0</v>
      </c>
      <c r="N94" s="37">
        <f t="shared" si="26"/>
        <v>0</v>
      </c>
      <c r="O94" s="92">
        <f t="shared" si="22"/>
        <v>0</v>
      </c>
      <c r="P94" s="31"/>
    </row>
    <row r="95" spans="1:17" ht="15" customHeight="1" x14ac:dyDescent="0.3">
      <c r="A95" s="31"/>
      <c r="B95" s="37" t="str">
        <f>+B59</f>
        <v>Pessoais</v>
      </c>
      <c r="C95" s="37">
        <f>+C59</f>
        <v>0</v>
      </c>
      <c r="D95" s="37">
        <f>+D59</f>
        <v>0</v>
      </c>
      <c r="E95" s="37">
        <f t="shared" ref="E95:N95" si="27">+E59</f>
        <v>0</v>
      </c>
      <c r="F95" s="37">
        <f t="shared" si="27"/>
        <v>0</v>
      </c>
      <c r="G95" s="37">
        <f t="shared" si="27"/>
        <v>0</v>
      </c>
      <c r="H95" s="37">
        <f t="shared" si="27"/>
        <v>0</v>
      </c>
      <c r="I95" s="37">
        <f t="shared" si="27"/>
        <v>0</v>
      </c>
      <c r="J95" s="37">
        <f t="shared" si="27"/>
        <v>0</v>
      </c>
      <c r="K95" s="37">
        <f t="shared" si="27"/>
        <v>0</v>
      </c>
      <c r="L95" s="37">
        <f t="shared" si="27"/>
        <v>0</v>
      </c>
      <c r="M95" s="37">
        <f t="shared" si="27"/>
        <v>0</v>
      </c>
      <c r="N95" s="37">
        <f t="shared" si="27"/>
        <v>15</v>
      </c>
      <c r="O95" s="92">
        <f t="shared" si="22"/>
        <v>15</v>
      </c>
      <c r="P95" s="31"/>
    </row>
    <row r="96" spans="1:17" ht="15" customHeight="1" x14ac:dyDescent="0.3">
      <c r="A96" s="31"/>
      <c r="B96" s="37" t="str">
        <f>+B64</f>
        <v>Lazer</v>
      </c>
      <c r="C96" s="37">
        <f>+C64</f>
        <v>0</v>
      </c>
      <c r="D96" s="37">
        <f>+D64</f>
        <v>0</v>
      </c>
      <c r="E96" s="37">
        <f t="shared" ref="E96:N96" si="28">+E64</f>
        <v>0</v>
      </c>
      <c r="F96" s="37">
        <f t="shared" si="28"/>
        <v>0</v>
      </c>
      <c r="G96" s="37">
        <f t="shared" si="28"/>
        <v>0</v>
      </c>
      <c r="H96" s="37">
        <f t="shared" si="28"/>
        <v>0</v>
      </c>
      <c r="I96" s="37">
        <f t="shared" si="28"/>
        <v>0</v>
      </c>
      <c r="J96" s="37">
        <f t="shared" si="28"/>
        <v>0</v>
      </c>
      <c r="K96" s="37">
        <f t="shared" si="28"/>
        <v>0</v>
      </c>
      <c r="L96" s="37">
        <f t="shared" si="28"/>
        <v>0</v>
      </c>
      <c r="M96" s="37">
        <f t="shared" si="28"/>
        <v>0</v>
      </c>
      <c r="N96" s="37">
        <f t="shared" si="28"/>
        <v>0</v>
      </c>
      <c r="O96" s="92">
        <f t="shared" si="22"/>
        <v>0</v>
      </c>
      <c r="P96" s="31"/>
    </row>
    <row r="97" spans="1:17" ht="15" customHeight="1" x14ac:dyDescent="0.3">
      <c r="A97" s="31"/>
      <c r="B97" s="79" t="str">
        <f>+B70</f>
        <v>Serviços Financeiros</v>
      </c>
      <c r="C97" s="79">
        <f>+C70</f>
        <v>500</v>
      </c>
      <c r="D97" s="79">
        <f>+D70</f>
        <v>0</v>
      </c>
      <c r="E97" s="79">
        <f t="shared" ref="E97:N97" si="29">+E70</f>
        <v>0</v>
      </c>
      <c r="F97" s="79">
        <f t="shared" si="29"/>
        <v>0</v>
      </c>
      <c r="G97" s="79">
        <f t="shared" si="29"/>
        <v>0</v>
      </c>
      <c r="H97" s="79">
        <f t="shared" si="29"/>
        <v>0</v>
      </c>
      <c r="I97" s="79">
        <f t="shared" si="29"/>
        <v>0</v>
      </c>
      <c r="J97" s="79">
        <f t="shared" si="29"/>
        <v>0</v>
      </c>
      <c r="K97" s="79">
        <f t="shared" si="29"/>
        <v>0</v>
      </c>
      <c r="L97" s="79">
        <f t="shared" si="29"/>
        <v>0</v>
      </c>
      <c r="M97" s="79">
        <f t="shared" si="29"/>
        <v>0</v>
      </c>
      <c r="N97" s="79">
        <f t="shared" si="29"/>
        <v>0</v>
      </c>
      <c r="O97" s="93">
        <f t="shared" si="22"/>
        <v>500</v>
      </c>
      <c r="P97" s="31"/>
    </row>
    <row r="98" spans="1:17" ht="15.6" x14ac:dyDescent="0.3">
      <c r="A98" s="30"/>
      <c r="B98" s="80" t="s">
        <v>234</v>
      </c>
      <c r="C98" s="81">
        <f>+C86-C88</f>
        <v>-650</v>
      </c>
      <c r="D98" s="81">
        <f>+D86-D88</f>
        <v>0</v>
      </c>
      <c r="E98" s="81">
        <f t="shared" ref="E98:N98" si="30">+E86-E88</f>
        <v>0</v>
      </c>
      <c r="F98" s="81">
        <f t="shared" si="30"/>
        <v>0</v>
      </c>
      <c r="G98" s="81">
        <f t="shared" si="30"/>
        <v>0</v>
      </c>
      <c r="H98" s="81">
        <f t="shared" si="30"/>
        <v>0</v>
      </c>
      <c r="I98" s="81">
        <f t="shared" si="30"/>
        <v>0</v>
      </c>
      <c r="J98" s="81">
        <f t="shared" si="30"/>
        <v>0</v>
      </c>
      <c r="K98" s="81">
        <f t="shared" si="30"/>
        <v>0</v>
      </c>
      <c r="L98" s="81">
        <f t="shared" si="30"/>
        <v>0</v>
      </c>
      <c r="M98" s="81">
        <f t="shared" si="30"/>
        <v>0</v>
      </c>
      <c r="N98" s="81">
        <f t="shared" si="30"/>
        <v>735</v>
      </c>
      <c r="O98" s="81">
        <f>+O86-O88</f>
        <v>85</v>
      </c>
      <c r="P98" s="30"/>
    </row>
    <row r="99" spans="1:17" ht="3" customHeight="1" x14ac:dyDescent="0.3">
      <c r="B99" s="89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</row>
    <row r="100" spans="1:17" s="27" customFormat="1" ht="15.6" x14ac:dyDescent="0.3">
      <c r="A100" s="25"/>
      <c r="B100" s="88" t="s">
        <v>241</v>
      </c>
      <c r="C100" s="44">
        <f>+C98</f>
        <v>-650</v>
      </c>
      <c r="D100" s="44">
        <f>+D98+C100</f>
        <v>-650</v>
      </c>
      <c r="E100" s="44">
        <f t="shared" ref="E100:N100" si="31">+E98+D100</f>
        <v>-650</v>
      </c>
      <c r="F100" s="44">
        <f t="shared" si="31"/>
        <v>-650</v>
      </c>
      <c r="G100" s="44">
        <f t="shared" si="31"/>
        <v>-650</v>
      </c>
      <c r="H100" s="44">
        <f t="shared" si="31"/>
        <v>-650</v>
      </c>
      <c r="I100" s="44">
        <f t="shared" si="31"/>
        <v>-650</v>
      </c>
      <c r="J100" s="44">
        <f t="shared" si="31"/>
        <v>-650</v>
      </c>
      <c r="K100" s="44">
        <f t="shared" si="31"/>
        <v>-650</v>
      </c>
      <c r="L100" s="44">
        <f t="shared" si="31"/>
        <v>-650</v>
      </c>
      <c r="M100" s="44">
        <f t="shared" si="31"/>
        <v>-650</v>
      </c>
      <c r="N100" s="44">
        <f t="shared" si="31"/>
        <v>85</v>
      </c>
      <c r="O100" s="44"/>
      <c r="P100" s="25"/>
      <c r="Q100" s="26"/>
    </row>
    <row r="101" spans="1:17" s="27" customFormat="1" x14ac:dyDescent="0.3">
      <c r="C101" s="144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Q101" s="26"/>
    </row>
    <row r="102" spans="1:17" ht="32.25" customHeight="1" x14ac:dyDescent="0.3">
      <c r="B102" s="143" t="s">
        <v>383</v>
      </c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5"/>
      <c r="O102" s="86"/>
      <c r="P102" s="84"/>
    </row>
    <row r="103" spans="1:17" ht="21" customHeight="1" x14ac:dyDescent="0.35">
      <c r="A103" s="25"/>
      <c r="B103" s="42" t="s">
        <v>152</v>
      </c>
      <c r="C103" s="23" t="s">
        <v>51</v>
      </c>
      <c r="D103" s="23" t="s">
        <v>52</v>
      </c>
      <c r="E103" s="23" t="s">
        <v>53</v>
      </c>
      <c r="F103" s="23" t="s">
        <v>54</v>
      </c>
      <c r="G103" s="23" t="s">
        <v>55</v>
      </c>
      <c r="H103" s="23" t="s">
        <v>56</v>
      </c>
      <c r="I103" s="23" t="s">
        <v>57</v>
      </c>
      <c r="J103" s="23" t="s">
        <v>58</v>
      </c>
      <c r="K103" s="23" t="s">
        <v>59</v>
      </c>
      <c r="L103" s="23" t="s">
        <v>60</v>
      </c>
      <c r="M103" s="23" t="s">
        <v>61</v>
      </c>
      <c r="N103" s="23" t="s">
        <v>62</v>
      </c>
      <c r="O103" s="23" t="s">
        <v>268</v>
      </c>
      <c r="P103" s="25"/>
      <c r="Q103" s="19"/>
    </row>
    <row r="104" spans="1:17" ht="15" customHeight="1" x14ac:dyDescent="0.3">
      <c r="A104" s="25"/>
      <c r="B104" s="28" t="s">
        <v>84</v>
      </c>
      <c r="C104" s="111">
        <f>SUMIF(Jan!H6:H75,"DP",(Jan!G6:G75))+SUMIF(Jan!H6:H75,"RD",(Jan!G6:G75))</f>
        <v>1000</v>
      </c>
      <c r="D104" s="111">
        <f>SUMIF(Fev!$H$6:$H$75,"DP",(Fev!$G$6:$G$75))+SUMIF(Fev!$H$6:$H$75,"RD",(Fev!$G$6:$G$75))</f>
        <v>0</v>
      </c>
      <c r="E104" s="111">
        <f>SUMIF(Mar!$H$6:$H$75,"DP",(Mar!$G$6:$G$75))+SUMIF(Mar!$H$6:$H$75,"RD",(Mar!$G$6:$G$75))</f>
        <v>0</v>
      </c>
      <c r="F104" s="111">
        <f>SUMIF(Abr!$H$6:$H$75,"DP",(Abr!$G$6:$G$75))+SUMIF(Abr!$H$6:$H$75,"RD",(Abr!$G$6:$G$75))</f>
        <v>0</v>
      </c>
      <c r="G104" s="111">
        <f>SUMIF(Mai!$H$6:$H$75,"DP",(Mai!$G$6:$G$75))+SUMIF(Mai!$H$6:$H$75,"RD",(Mai!$G$6:$G$75))</f>
        <v>0</v>
      </c>
      <c r="H104" s="111">
        <f>SUMIF(Jun!$H$6:$H$75,"DP",(Jun!$G$6:$G$75))+SUMIF(Jun!$H$6:$H$75,"RD",(Jun!$G$6:$G$75))</f>
        <v>0</v>
      </c>
      <c r="I104" s="111">
        <f>SUMIF(Jul!$H$6:$H$75,"DP",(Jul!$G$6:$G$75))+SUMIF(Jul!$H$6:$H$75,"RD",(Jul!$G$6:$G$75))</f>
        <v>0</v>
      </c>
      <c r="J104" s="111">
        <f>SUMIF(Ago!$H$6:$H$75,"DP",(Ago!$G$6:$G$75))+SUMIF(Ago!$H$6:$H$75,"RD",(Ago!$G$6:$G$75))</f>
        <v>0</v>
      </c>
      <c r="K104" s="111">
        <f>SUMIF(Set!$H$6:$H$75,"DP",(Set!$G$6:$G$75))+SUMIF(Set!$H$6:$H$75,"RD",(Set!$G$6:$G$75))</f>
        <v>0</v>
      </c>
      <c r="L104" s="111">
        <f>SUMIF(Out!$H$6:$H$75,"DP",(Out!$G$6:$G$75))+SUMIF(Out!$H$6:$H$75,"RD",(Out!$G$6:$G$75))</f>
        <v>0</v>
      </c>
      <c r="M104" s="111">
        <f>SUMIF(Nov!$H$6:$H$75,"DP",(Nov!$G$6:$G$75))+SUMIF(Nov!$H$6:$H$75,"RD",(Nov!$G$6:$G$75))</f>
        <v>0</v>
      </c>
      <c r="N104" s="111">
        <f>SUMIF(Dez!$H$6:$H$75,"DP",(Dez!$G$6:$G$75))+SUMIF(Dez!$H$6:$H$75,"RD",(Dez!$G$6:$G$75))</f>
        <v>750</v>
      </c>
      <c r="O104" s="38">
        <f t="shared" ref="O104:O110" si="32">SUM(C104:N104)</f>
        <v>1750</v>
      </c>
      <c r="P104" s="25"/>
      <c r="Q104" s="19"/>
    </row>
    <row r="105" spans="1:17" ht="15" customHeight="1" x14ac:dyDescent="0.3">
      <c r="A105" s="25"/>
      <c r="B105" s="28" t="s">
        <v>161</v>
      </c>
      <c r="C105" s="41">
        <f>+Jan!$J$5+Jan!$K$5</f>
        <v>-92.8</v>
      </c>
      <c r="D105" s="41">
        <f>+Fev!$J$5+Fev!$K$5</f>
        <v>0</v>
      </c>
      <c r="E105" s="41">
        <f>+Mar!$J$5+Mar!$K$5</f>
        <v>0</v>
      </c>
      <c r="F105" s="41">
        <f>+Abr!$J$5+Abr!$K$5</f>
        <v>0</v>
      </c>
      <c r="G105" s="41">
        <f>+Mai!$J$5+Mai!$K$5</f>
        <v>0</v>
      </c>
      <c r="H105" s="41">
        <f>+Jun!$J$5+Jun!$K$5</f>
        <v>0</v>
      </c>
      <c r="I105" s="41">
        <f>+Jul!$J$5+Jul!$K$5</f>
        <v>0</v>
      </c>
      <c r="J105" s="41">
        <f>+Ago!$J$5+Ago!$K$5</f>
        <v>0</v>
      </c>
      <c r="K105" s="41">
        <f>+Set!$J$5+Set!$K$5</f>
        <v>0</v>
      </c>
      <c r="L105" s="41">
        <f>+Out!$J$5+Out!$K$5</f>
        <v>0</v>
      </c>
      <c r="M105" s="41">
        <f>+Nov!$J$5+Nov!$K$5</f>
        <v>0</v>
      </c>
      <c r="N105" s="41">
        <f>+Dez!$J$5+Dez!$K$5</f>
        <v>-165</v>
      </c>
      <c r="O105" s="38">
        <f t="shared" si="32"/>
        <v>-257.8</v>
      </c>
      <c r="P105" s="25"/>
      <c r="Q105" s="19"/>
    </row>
    <row r="106" spans="1:17" ht="15" customHeight="1" x14ac:dyDescent="0.3">
      <c r="A106" s="25"/>
      <c r="B106" s="28" t="s">
        <v>157</v>
      </c>
      <c r="C106" s="41">
        <f>SUMIF(Jan!$H$6:$H$100,"DB",(Jan!$G$6:$G$100))+SUMIF(Jan!$H$6:$H$100,"TR",(Jan!$G$6:$G$100))+SUMIF(Jan!$H$6:$H$100,"SQ",(Jan!$G$6:$G$100))</f>
        <v>1000</v>
      </c>
      <c r="D106" s="41">
        <f>SUMIF(Fev!$H$6:$H$100,"DB",(Fev!$G$6:$G$100))+SUMIF(Fev!$H$6:$H$100,"TR",(Fev!$G$6:$G$100))+SUMIF(Fev!$H$6:$H$100,"SQ",(Fev!$G$6:$G$100))</f>
        <v>0</v>
      </c>
      <c r="E106" s="41">
        <f>SUMIF(Mar!$H$6:$H$100,"DB",(Mar!$G$6:$G$100))+SUMIF(Mar!$H$6:$H$100,"TR",(Mar!$G$6:$G$100))+SUMIF(Mar!$H$6:$H$100,"SQ",(Mar!$G$6:$G$100))</f>
        <v>0</v>
      </c>
      <c r="F106" s="41">
        <f>SUMIF(Abr!$H$6:$H$100,"DB",(Abr!$G$6:$G$100))+SUMIF(Abr!$H$6:$H$100,"TR",(Abr!$G$6:$G$100))+SUMIF(Abr!$H$6:$H$100,"SQ",(Abr!$G$6:$G$100))</f>
        <v>0</v>
      </c>
      <c r="G106" s="41">
        <f>SUMIF(Mai!$H$6:$H$100,"DB",(Mai!$G$6:$G$100))+SUMIF(Mai!$H$6:$H$100,"TR",(Mai!$G$6:$G$100))+SUMIF(Mai!$H$6:$H$100,"SQ",(Mai!$G$6:$G$100))</f>
        <v>0</v>
      </c>
      <c r="H106" s="41">
        <f>SUMIF(Jun!$H$6:$H$100,"DB",(Jun!$G$6:$G$100))+SUMIF(Jun!$H$6:$H$100,"TR",(Jun!$G$6:$G$100))+SUMIF(Jun!$H$6:$H$100,"SQ",(Jun!$G$6:$G$100))</f>
        <v>0</v>
      </c>
      <c r="I106" s="41">
        <f>SUMIF(Jul!$H$6:$H$100,"DB",(Jul!$G$6:$G$100))+SUMIF(Jul!$H$6:$H$100,"TR",(Jul!$G$6:$G$100))+SUMIF(Jul!$H$6:$H$100,"SQ",(Jul!$G$6:$G$100))</f>
        <v>0</v>
      </c>
      <c r="J106" s="41">
        <f>SUMIF(Ago!$H$6:$H$100,"DB",(Ago!$G$6:$G$100))+SUMIF(Ago!$H$6:$H$100,"TR",(Ago!$G$6:$G$100))+SUMIF(Ago!$H$6:$H$100,"SQ",(Ago!$G$6:$G$100))</f>
        <v>0</v>
      </c>
      <c r="K106" s="41">
        <f>SUMIF(Set!$H$6:$H$100,"DB",(Set!$G$6:$G$100))+SUMIF(Set!$H$6:$H$100,"TR",(Set!$G$6:$G$100))+SUMIF(Set!$H$6:$H$100,"SQ",(Set!$G$6:$G$100))</f>
        <v>0</v>
      </c>
      <c r="L106" s="41">
        <f>SUMIF(Out!$H$6:$H$100,"DB",(Out!$G$6:$G$100))+SUMIF(Out!$H$6:$H$100,"TR",(Out!$G$6:$G$100))+SUMIF(Out!$H$6:$H$100,"SQ",(Out!$G$6:$G$100))</f>
        <v>0</v>
      </c>
      <c r="M106" s="41">
        <f>SUMIF(Nov!$H$6:$H$100,"DB",(Nov!$G$6:$G$100))+SUMIF(Nov!$H$6:$H$100,"TR",(Nov!$G$6:$G$100))+SUMIF(Nov!$H$6:$H$100,"SQ",(Nov!$G$6:$G$100))</f>
        <v>0</v>
      </c>
      <c r="N106" s="41">
        <f>SUMIF(Dez!$H$6:$H$100,"DB",(Dez!$G$6:$G$100))+SUMIF(Dez!$H$6:$H$100,"TR",(Dez!$G$6:$G$100))+SUMIF(Dez!$H$6:$H$100,"SQ",(Dez!$G$6:$G$100))</f>
        <v>15</v>
      </c>
      <c r="O106" s="38">
        <f t="shared" si="32"/>
        <v>1015</v>
      </c>
      <c r="P106" s="25"/>
      <c r="Q106" s="19"/>
    </row>
    <row r="107" spans="1:17" ht="15" customHeight="1" x14ac:dyDescent="0.3">
      <c r="A107" s="25"/>
      <c r="B107" s="28" t="s">
        <v>158</v>
      </c>
      <c r="C107" s="41">
        <f>SUMIF(Jan!$H$6:$H$75,"DI",(Jan!$G$6:$G$75))</f>
        <v>0</v>
      </c>
      <c r="D107" s="41">
        <f>SUMIF(Fev!$H$6:$H$75,"DI",(Fev!$G$6:$G$75))</f>
        <v>0</v>
      </c>
      <c r="E107" s="41">
        <f>SUMIF(Mar!$H$6:$H$75,"DI",(Mar!$G$6:$G$75))</f>
        <v>0</v>
      </c>
      <c r="F107" s="41">
        <f>SUMIF(Abr!$H$6:$H$75,"DI",(Abr!$G$6:$G$75))</f>
        <v>0</v>
      </c>
      <c r="G107" s="41">
        <f>SUMIF(Mai!$H$6:$H$75,"DI",(Mai!$G$6:$G$75))</f>
        <v>0</v>
      </c>
      <c r="H107" s="41">
        <f>SUMIF(Jun!$H$6:$H$75,"DI",(Jun!$G$6:$G$75))</f>
        <v>0</v>
      </c>
      <c r="I107" s="41">
        <f>SUMIF(Jul!$H$6:$H$75,"DI",(Jul!$G$6:$G$75))</f>
        <v>0</v>
      </c>
      <c r="J107" s="41">
        <f>SUMIF(Ago!$H$6:$H$75,"DI",(Ago!$G$6:$G$75))</f>
        <v>0</v>
      </c>
      <c r="K107" s="41">
        <f>SUMIF(Set!$H$6:$H$75,"DI",(Set!$G$6:$G$75))</f>
        <v>0</v>
      </c>
      <c r="L107" s="41">
        <f>SUMIF(Out!$H$6:$H$75,"DI",(Out!$G$6:$G$75))</f>
        <v>0</v>
      </c>
      <c r="M107" s="41">
        <f>SUMIF(Nov!$H$6:$H$75,"DI",(Nov!$G$6:$G$75))</f>
        <v>0</v>
      </c>
      <c r="N107" s="41">
        <f>SUMIF(Dez!$H$6:$H$75,"DI",(Dez!$G$6:$G$75))</f>
        <v>0</v>
      </c>
      <c r="O107" s="38">
        <f t="shared" si="32"/>
        <v>0</v>
      </c>
      <c r="P107" s="25"/>
      <c r="Q107" s="19"/>
    </row>
    <row r="108" spans="1:17" x14ac:dyDescent="0.3">
      <c r="A108" s="25"/>
      <c r="B108" s="28" t="s">
        <v>270</v>
      </c>
      <c r="C108" s="41">
        <f>Jan!$L$5</f>
        <v>220</v>
      </c>
      <c r="D108" s="41">
        <f>SUMIF(Jan!$H$6:$H$75,"CC",(Jan!$G$6:$G$75))+Jan!$L$5</f>
        <v>870</v>
      </c>
      <c r="E108" s="41">
        <f>SUMIF(Fev!$H$6:$H$75,"CC",(Fev!$G$6:$G$75))+Fev!$L$5</f>
        <v>0</v>
      </c>
      <c r="F108" s="41">
        <f>SUMIF(Mar!$H$6:$H$75,"CC",(Mar!$G$6:$G$75))+Mar!$L$5</f>
        <v>0</v>
      </c>
      <c r="G108" s="41">
        <f>SUMIF(Abr!$H$6:$H$75,"CC",(Abr!$G$6:$G$75))+Abr!$L$5</f>
        <v>0</v>
      </c>
      <c r="H108" s="41">
        <f>SUMIF(Mai!$H$6:$H$75,"CC",(Mai!$G$6:$G$75))+Mai!$L$5</f>
        <v>0</v>
      </c>
      <c r="I108" s="41">
        <f>SUMIF(Jun!$H$6:$H$75,"CC",(Jun!$G$6:$G$75))+Jun!$L$5</f>
        <v>0</v>
      </c>
      <c r="J108" s="41">
        <f>SUMIF(Jul!$H$6:$H$75,"CC",(Jul!$G$6:$G$75))+Jul!$L$5</f>
        <v>0</v>
      </c>
      <c r="K108" s="41">
        <f>SUMIF(Ago!$H$6:$H$75,"CC",(Ago!$G$6:$G$75))+Ago!$L$5</f>
        <v>0</v>
      </c>
      <c r="L108" s="41">
        <f>SUMIF(Set!$H$6:$H$75,"CC",(Set!$G$6:$G$75))+Set!$L$5</f>
        <v>0</v>
      </c>
      <c r="M108" s="41">
        <f>SUMIF(Out!$H$6:$H$75,"CC",(Out!$G$6:$G$75))+Out!$L$5</f>
        <v>0</v>
      </c>
      <c r="N108" s="41">
        <f>SUMIF(Nov!$H$6:$H$75,"CC",(Nov!$G$6:$G$75))+Nov!$L$5</f>
        <v>0</v>
      </c>
      <c r="O108" s="38">
        <f t="shared" si="32"/>
        <v>1090</v>
      </c>
      <c r="P108" s="25"/>
      <c r="Q108" t="s">
        <v>272</v>
      </c>
    </row>
    <row r="109" spans="1:17" x14ac:dyDescent="0.3">
      <c r="A109" s="25"/>
      <c r="B109" s="28" t="s">
        <v>271</v>
      </c>
      <c r="C109" s="154">
        <v>0</v>
      </c>
      <c r="D109" s="28">
        <f>SUMIF(Jan!$H$6:$H$75,"PC",(Jan!$G$6:$G$75))</f>
        <v>0</v>
      </c>
      <c r="E109" s="28">
        <f>SUMIF(Fev!$H$6:$H$75,"PC",(Fev!$G$6:$G$75))</f>
        <v>0</v>
      </c>
      <c r="F109" s="28">
        <f>SUMIF(Mar!$H$6:$H$75,"PC",(Mar!$G$6:$G$75))</f>
        <v>0</v>
      </c>
      <c r="G109" s="28">
        <f>SUMIF(Abr!$H$6:$H$75,"PC",(Abr!$G$6:$G$75))</f>
        <v>0</v>
      </c>
      <c r="H109" s="28">
        <f>SUMIF(Mai!$H$6:$H$75,"PC",(Mai!$G$6:$G$75))</f>
        <v>0</v>
      </c>
      <c r="I109" s="28">
        <f>SUMIF(Jun!$H$6:$H$75,"PC",(Jun!$G$6:$G$75))</f>
        <v>0</v>
      </c>
      <c r="J109" s="28">
        <f>SUMIF(Jul!$H$6:$H$75,"PC",(Jul!$G$6:$G$75))</f>
        <v>0</v>
      </c>
      <c r="K109" s="28">
        <f>SUMIF(Ago!$H$6:$H$75,"PC",(Ago!$G$6:$G$75))</f>
        <v>0</v>
      </c>
      <c r="L109" s="28">
        <f>SUMIF(Set!$H$6:$H$75,"PC",(Set!$G$6:$G$75))</f>
        <v>0</v>
      </c>
      <c r="M109" s="28">
        <f>SUMIF(Out!$H$6:$H$75,"PC",(Out!$G$6:$G$75))</f>
        <v>0</v>
      </c>
      <c r="N109" s="28">
        <f>SUMIF(Nov!$H$6:$H$75,"PC",(Nov!$G$6:$G$75))</f>
        <v>0</v>
      </c>
      <c r="O109" s="38">
        <f t="shared" si="32"/>
        <v>0</v>
      </c>
      <c r="P109" s="25"/>
      <c r="Q109" t="s">
        <v>272</v>
      </c>
    </row>
    <row r="110" spans="1:17" ht="15" customHeight="1" x14ac:dyDescent="0.3">
      <c r="A110" s="25"/>
      <c r="B110" s="28" t="s">
        <v>159</v>
      </c>
      <c r="C110" s="28">
        <f>SUMIF(Jan!$D$6:$D$75,"f7",(Jan!$G$6:$G$75))</f>
        <v>0</v>
      </c>
      <c r="D110" s="28">
        <f>SUMIF(Fev!$D$6:$D$75,"f7",(Fev!$G$6:$G$75))</f>
        <v>0</v>
      </c>
      <c r="E110" s="28">
        <f>SUMIF(Mar!$D$6:$D$75,"f7",(Mar!$G$6:$G$75))</f>
        <v>0</v>
      </c>
      <c r="F110" s="28">
        <f>SUMIF(Mar!$D$6:$D$75,"f7",(Mar!$G$6:$G$75))</f>
        <v>0</v>
      </c>
      <c r="G110" s="28">
        <f>SUMIF(Mai!$D$6:$D$75,"f7",(Mai!$G$6:$G$75))</f>
        <v>0</v>
      </c>
      <c r="H110" s="28">
        <f>SUMIF(Jun!$D$6:$D$75,"f7",(Jun!$G$6:$G$75))</f>
        <v>0</v>
      </c>
      <c r="I110" s="28">
        <f>SUMIF(Jul!$D$6:$D$75,"f7",(Jul!$G$6:$G$75))</f>
        <v>0</v>
      </c>
      <c r="J110" s="28">
        <f>SUMIF(Ago!$D$6:$D$75,"f7",(Ago!$G$6:$G$75))</f>
        <v>0</v>
      </c>
      <c r="K110" s="28">
        <f>SUMIF(Set!$D$6:$D$75,"f7",(Set!$G$6:$G$75))</f>
        <v>0</v>
      </c>
      <c r="L110" s="28">
        <f>SUMIF(Out!$D$6:$D$75,"f7",(Out!$G$6:$G$75))</f>
        <v>0</v>
      </c>
      <c r="M110" s="28">
        <f>SUMIF(Nov!$D$6:$D$75,"f7",(Nov!$G$6:$G$75))</f>
        <v>0</v>
      </c>
      <c r="N110" s="28">
        <f>SUMIF(Dez!$D$6:$D$75,"f7",(Dez!$G$6:$G$75))</f>
        <v>0</v>
      </c>
      <c r="O110" s="38">
        <f t="shared" si="32"/>
        <v>0</v>
      </c>
      <c r="P110" s="25"/>
      <c r="Q110" s="19"/>
    </row>
    <row r="111" spans="1:17" s="27" customFormat="1" ht="18.75" customHeight="1" x14ac:dyDescent="0.35">
      <c r="A111" s="25"/>
      <c r="B111" s="42" t="s">
        <v>156</v>
      </c>
      <c r="C111" s="44">
        <f>(+C104+C105)-C106-C107-C110</f>
        <v>-92.799999999999955</v>
      </c>
      <c r="D111" s="44">
        <f t="shared" ref="D111:M111" si="33">(+D104+D105)-D106-D107-D110</f>
        <v>0</v>
      </c>
      <c r="E111" s="44">
        <f t="shared" si="33"/>
        <v>0</v>
      </c>
      <c r="F111" s="44">
        <f t="shared" si="33"/>
        <v>0</v>
      </c>
      <c r="G111" s="44">
        <f t="shared" si="33"/>
        <v>0</v>
      </c>
      <c r="H111" s="44">
        <f t="shared" si="33"/>
        <v>0</v>
      </c>
      <c r="I111" s="44">
        <f t="shared" si="33"/>
        <v>0</v>
      </c>
      <c r="J111" s="44">
        <f t="shared" si="33"/>
        <v>0</v>
      </c>
      <c r="K111" s="44">
        <f t="shared" si="33"/>
        <v>0</v>
      </c>
      <c r="L111" s="44">
        <f t="shared" si="33"/>
        <v>0</v>
      </c>
      <c r="M111" s="44">
        <f t="shared" si="33"/>
        <v>0</v>
      </c>
      <c r="N111" s="44">
        <f>(+N104+N105)-N106-N107-N110</f>
        <v>570</v>
      </c>
      <c r="O111" s="44">
        <f>+O104+O105-O106-O107-O108-O110</f>
        <v>-612.79999999999995</v>
      </c>
      <c r="P111" s="25"/>
      <c r="Q111" s="26"/>
    </row>
    <row r="113" spans="3:14" x14ac:dyDescent="0.3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3:14" x14ac:dyDescent="0.3">
      <c r="C114" s="259"/>
    </row>
    <row r="115" spans="3:14" x14ac:dyDescent="0.3">
      <c r="C115" s="259"/>
    </row>
  </sheetData>
  <sheetProtection formatCells="0" formatColumns="0" formatRows="0" insertColumns="0" insertRows="0" insertHyperlinks="0" deleteColumns="0" deleteRows="0" sort="0" autoFilter="0" pivotTables="0"/>
  <dataConsolidate/>
  <mergeCells count="2">
    <mergeCell ref="A1:B1"/>
    <mergeCell ref="C1:P1"/>
  </mergeCells>
  <phoneticPr fontId="18" type="noConversion"/>
  <pageMargins left="0.23622047244094491" right="0.23622047244094491" top="0.15748031496062992" bottom="0.15748031496062992" header="0.31496062992125984" footer="0.31496062992125984"/>
  <pageSetup paperSize="9" scale="48" firstPageNumber="0" fitToWidth="2" orientation="landscape" horizontalDpi="300" verticalDpi="300" r:id="rId1"/>
  <headerFooter alignWithMargins="0"/>
  <ignoredErrors>
    <ignoredError sqref="C43:C77 C32:C41 D4:N9 D78 E14:N18 E43:N48 E20:N28 E33:N36 D20 E65:N69 E71:N78 E50:N58 E60:N63 E38:N41 C4:C18 C20:C28" emptyCellReference="1"/>
    <ignoredError sqref="O4:O11 O39:O42 O44:O46 O14:O18 O32:O37 O48:O50 O52:O70 O21:O28" formula="1"/>
    <ignoredError sqref="D10:F13 D42 D64 D72:D76 D77 D14 D15 D16 D17 D18 D32 D21:D28 D37 D33 D34:D36 D39:D40 D38 D41 D49 D43 D44:D48 D59 D51 D52:D58 D61:D62 D60 D50 D63 D70 D65 D66:D69 D71 N37 H37:M37 N32 H32:M32 N10:N13 N42 H42:M42 G10:M13 G42 G32 G37 E37:F37 E32:F32 E42:F42 N49 E49:M49 N70 E70:M70 N59 E59:M59 N64 E64:M64" formula="1" emptyCellReference="1"/>
  </ignoredError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6">
    <pageSetUpPr fitToPage="1"/>
  </sheetPr>
  <dimension ref="A1:Q110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78" sqref="C78"/>
    </sheetView>
  </sheetViews>
  <sheetFormatPr defaultRowHeight="14.4" x14ac:dyDescent="0.3"/>
  <cols>
    <col min="1" max="1" width="1.109375" customWidth="1"/>
    <col min="2" max="2" width="36.6640625" customWidth="1"/>
    <col min="3" max="14" width="11.5546875" customWidth="1"/>
    <col min="15" max="15" width="13.33203125" style="17" customWidth="1"/>
    <col min="16" max="16" width="1" customWidth="1"/>
    <col min="17" max="17" width="9.5546875" customWidth="1"/>
  </cols>
  <sheetData>
    <row r="1" spans="1:16" ht="55.5" customHeight="1" x14ac:dyDescent="0.5">
      <c r="A1" s="282"/>
      <c r="B1" s="282"/>
      <c r="C1" s="283" t="s">
        <v>0</v>
      </c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</row>
    <row r="2" spans="1:16" ht="22.5" customHeight="1" x14ac:dyDescent="0.6">
      <c r="B2" s="87" t="s">
        <v>240</v>
      </c>
      <c r="C2" s="84"/>
      <c r="D2" s="84"/>
      <c r="E2" s="84"/>
      <c r="F2" s="84"/>
      <c r="G2" s="84"/>
      <c r="H2" s="84"/>
      <c r="I2" s="139">
        <f>+Instruções!I19</f>
        <v>2026</v>
      </c>
      <c r="J2" s="84"/>
      <c r="K2" s="84"/>
      <c r="L2" s="84"/>
      <c r="M2" s="84"/>
      <c r="N2" s="85"/>
      <c r="O2" s="86"/>
      <c r="P2" s="84"/>
    </row>
    <row r="3" spans="1:16" ht="14.25" customHeight="1" x14ac:dyDescent="0.3">
      <c r="A3" s="24"/>
      <c r="B3" s="29" t="str">
        <f>+Codigo!C4</f>
        <v>Receita</v>
      </c>
      <c r="C3" s="23" t="s">
        <v>51</v>
      </c>
      <c r="D3" s="23" t="s">
        <v>52</v>
      </c>
      <c r="E3" s="23" t="s">
        <v>53</v>
      </c>
      <c r="F3" s="23" t="s">
        <v>54</v>
      </c>
      <c r="G3" s="23" t="s">
        <v>55</v>
      </c>
      <c r="H3" s="23" t="s">
        <v>56</v>
      </c>
      <c r="I3" s="23" t="s">
        <v>57</v>
      </c>
      <c r="J3" s="23" t="s">
        <v>58</v>
      </c>
      <c r="K3" s="23" t="s">
        <v>59</v>
      </c>
      <c r="L3" s="23" t="s">
        <v>60</v>
      </c>
      <c r="M3" s="23" t="s">
        <v>61</v>
      </c>
      <c r="N3" s="23" t="s">
        <v>62</v>
      </c>
      <c r="O3" s="23" t="s">
        <v>268</v>
      </c>
      <c r="P3" s="24"/>
    </row>
    <row r="4" spans="1:16" x14ac:dyDescent="0.3">
      <c r="A4" s="30"/>
      <c r="B4" s="28" t="str">
        <f>+Codigo!D4</f>
        <v>Salário  / Adiantamento</v>
      </c>
      <c r="C4" s="37">
        <v>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151">
        <f t="shared" ref="O4:O9" si="0">SUM(C4:N4)</f>
        <v>10</v>
      </c>
      <c r="P4" s="30"/>
    </row>
    <row r="5" spans="1:16" x14ac:dyDescent="0.3">
      <c r="A5" s="30"/>
      <c r="B5" s="28" t="str">
        <f>+Codigo!D5</f>
        <v>Férias</v>
      </c>
      <c r="C5" s="37">
        <v>100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151">
        <f t="shared" si="0"/>
        <v>100</v>
      </c>
      <c r="P5" s="30"/>
    </row>
    <row r="6" spans="1:16" x14ac:dyDescent="0.3">
      <c r="A6" s="30"/>
      <c r="B6" s="28" t="str">
        <f>+Codigo!D6</f>
        <v>13º salário</v>
      </c>
      <c r="C6" s="37">
        <v>100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151">
        <f t="shared" si="0"/>
        <v>100</v>
      </c>
      <c r="P6" s="30"/>
    </row>
    <row r="7" spans="1:16" x14ac:dyDescent="0.3">
      <c r="A7" s="30"/>
      <c r="B7" s="28" t="str">
        <f>+Codigo!D7</f>
        <v>Aposentadoria</v>
      </c>
      <c r="C7" s="37">
        <v>100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151">
        <f t="shared" si="0"/>
        <v>100</v>
      </c>
      <c r="P7" s="30"/>
    </row>
    <row r="8" spans="1:16" x14ac:dyDescent="0.3">
      <c r="A8" s="30"/>
      <c r="B8" s="28" t="str">
        <f>+Codigo!D8</f>
        <v>Receita extra (aluguel, restituição IR)</v>
      </c>
      <c r="C8" s="37">
        <v>100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151">
        <f t="shared" si="0"/>
        <v>100</v>
      </c>
      <c r="P8" s="30"/>
    </row>
    <row r="9" spans="1:16" x14ac:dyDescent="0.3">
      <c r="A9" s="30"/>
      <c r="B9" s="28" t="str">
        <f>+Codigo!D9</f>
        <v>Outras Receitas</v>
      </c>
      <c r="C9" s="79">
        <v>150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151">
        <f t="shared" si="0"/>
        <v>150</v>
      </c>
      <c r="P9" s="30"/>
    </row>
    <row r="10" spans="1:16" ht="15.6" x14ac:dyDescent="0.3">
      <c r="A10" s="30"/>
      <c r="B10" s="80" t="s">
        <v>11</v>
      </c>
      <c r="C10" s="81">
        <f>SUM(C4:C9)</f>
        <v>560</v>
      </c>
      <c r="D10" s="81">
        <f t="shared" ref="D10:N10" si="1">SUM(D4:D9)</f>
        <v>0</v>
      </c>
      <c r="E10" s="81">
        <f t="shared" si="1"/>
        <v>0</v>
      </c>
      <c r="F10" s="81">
        <f t="shared" si="1"/>
        <v>0</v>
      </c>
      <c r="G10" s="81">
        <f t="shared" si="1"/>
        <v>0</v>
      </c>
      <c r="H10" s="81">
        <f t="shared" si="1"/>
        <v>0</v>
      </c>
      <c r="I10" s="81">
        <f t="shared" si="1"/>
        <v>0</v>
      </c>
      <c r="J10" s="81">
        <f t="shared" si="1"/>
        <v>0</v>
      </c>
      <c r="K10" s="81">
        <f t="shared" si="1"/>
        <v>0</v>
      </c>
      <c r="L10" s="81">
        <f t="shared" si="1"/>
        <v>0</v>
      </c>
      <c r="M10" s="81">
        <f t="shared" si="1"/>
        <v>0</v>
      </c>
      <c r="N10" s="81">
        <f t="shared" si="1"/>
        <v>0</v>
      </c>
      <c r="O10" s="95">
        <f>SUM(O4:O9)</f>
        <v>560</v>
      </c>
      <c r="P10" s="30"/>
    </row>
    <row r="11" spans="1:16" ht="4.5" customHeight="1" x14ac:dyDescent="0.3"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8"/>
    </row>
    <row r="12" spans="1:16" ht="15" customHeight="1" x14ac:dyDescent="0.3">
      <c r="A12" s="31"/>
      <c r="B12" s="32" t="s">
        <v>12</v>
      </c>
      <c r="C12" s="23" t="s">
        <v>51</v>
      </c>
      <c r="D12" s="23" t="s">
        <v>52</v>
      </c>
      <c r="E12" s="23" t="s">
        <v>53</v>
      </c>
      <c r="F12" s="23" t="s">
        <v>54</v>
      </c>
      <c r="G12" s="23" t="s">
        <v>55</v>
      </c>
      <c r="H12" s="23" t="s">
        <v>56</v>
      </c>
      <c r="I12" s="23" t="s">
        <v>57</v>
      </c>
      <c r="J12" s="23" t="s">
        <v>58</v>
      </c>
      <c r="K12" s="23" t="s">
        <v>59</v>
      </c>
      <c r="L12" s="23" t="s">
        <v>60</v>
      </c>
      <c r="M12" s="23" t="s">
        <v>61</v>
      </c>
      <c r="N12" s="23" t="s">
        <v>62</v>
      </c>
      <c r="O12" s="23" t="s">
        <v>268</v>
      </c>
      <c r="P12" s="31"/>
    </row>
    <row r="13" spans="1:16" ht="15" customHeight="1" x14ac:dyDescent="0.3">
      <c r="A13" s="31"/>
      <c r="B13" s="98" t="str">
        <f>+Codigo!C10</f>
        <v>Alimentação</v>
      </c>
      <c r="C13" s="97">
        <f>SUM(C14:C18)</f>
        <v>50</v>
      </c>
      <c r="D13" s="97">
        <f t="shared" ref="D13:N13" si="2">SUM(D14:D18)</f>
        <v>0</v>
      </c>
      <c r="E13" s="97">
        <f t="shared" si="2"/>
        <v>0</v>
      </c>
      <c r="F13" s="97">
        <f t="shared" si="2"/>
        <v>0</v>
      </c>
      <c r="G13" s="97">
        <f t="shared" si="2"/>
        <v>0</v>
      </c>
      <c r="H13" s="97">
        <f t="shared" si="2"/>
        <v>0</v>
      </c>
      <c r="I13" s="97">
        <f t="shared" si="2"/>
        <v>0</v>
      </c>
      <c r="J13" s="97">
        <f t="shared" si="2"/>
        <v>0</v>
      </c>
      <c r="K13" s="97">
        <f t="shared" si="2"/>
        <v>0</v>
      </c>
      <c r="L13" s="97">
        <f t="shared" si="2"/>
        <v>0</v>
      </c>
      <c r="M13" s="97">
        <f t="shared" si="2"/>
        <v>0</v>
      </c>
      <c r="N13" s="97">
        <f t="shared" si="2"/>
        <v>0</v>
      </c>
      <c r="O13" s="96">
        <f>SUM(O14:O18)</f>
        <v>50</v>
      </c>
      <c r="P13" s="31"/>
    </row>
    <row r="14" spans="1:16" x14ac:dyDescent="0.3">
      <c r="A14" s="31"/>
      <c r="B14" s="28" t="str">
        <f>+Codigo!D10</f>
        <v>Supermercado</v>
      </c>
      <c r="C14" s="37">
        <v>10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150">
        <f>SUM(C14:N14)</f>
        <v>10</v>
      </c>
      <c r="P14" s="31"/>
    </row>
    <row r="15" spans="1:16" x14ac:dyDescent="0.3">
      <c r="A15" s="31"/>
      <c r="B15" s="28" t="str">
        <f>+Codigo!D11</f>
        <v>Feira  / Sacolão</v>
      </c>
      <c r="C15" s="37">
        <v>10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150">
        <f>SUM(C15:N15)</f>
        <v>10</v>
      </c>
      <c r="P15" s="31"/>
    </row>
    <row r="16" spans="1:16" x14ac:dyDescent="0.3">
      <c r="A16" s="31"/>
      <c r="B16" s="28" t="str">
        <f>+Codigo!D12</f>
        <v>Padaria</v>
      </c>
      <c r="C16" s="37">
        <v>10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150">
        <f>SUM(C16:N16)</f>
        <v>10</v>
      </c>
      <c r="P16" s="31"/>
    </row>
    <row r="17" spans="1:16" x14ac:dyDescent="0.3">
      <c r="A17" s="31"/>
      <c r="B17" s="28" t="str">
        <f>+Codigo!D13</f>
        <v>Refeição fora de casa</v>
      </c>
      <c r="C17" s="37">
        <v>10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150">
        <f>SUM(C17:N17)</f>
        <v>10</v>
      </c>
      <c r="P17" s="31"/>
    </row>
    <row r="18" spans="1:16" x14ac:dyDescent="0.3">
      <c r="A18" s="31"/>
      <c r="B18" s="28" t="str">
        <f>+Codigo!D14</f>
        <v>Outros (café, água, sorvetes, etc)</v>
      </c>
      <c r="C18" s="37">
        <v>10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150">
        <f>SUM(C18:N18)</f>
        <v>10</v>
      </c>
      <c r="P18" s="31"/>
    </row>
    <row r="19" spans="1:16" ht="15" customHeight="1" x14ac:dyDescent="0.3">
      <c r="A19" s="31"/>
      <c r="B19" s="98" t="str">
        <f>+Codigo!C15</f>
        <v>Moradia</v>
      </c>
      <c r="C19" s="97">
        <f>SUM(C20:C31)</f>
        <v>120</v>
      </c>
      <c r="D19" s="97">
        <f t="shared" ref="D19:N19" si="3">SUM(D20:D31)</f>
        <v>0</v>
      </c>
      <c r="E19" s="97">
        <f t="shared" si="3"/>
        <v>0</v>
      </c>
      <c r="F19" s="97">
        <f t="shared" si="3"/>
        <v>0</v>
      </c>
      <c r="G19" s="97">
        <f t="shared" si="3"/>
        <v>0</v>
      </c>
      <c r="H19" s="97">
        <f t="shared" si="3"/>
        <v>0</v>
      </c>
      <c r="I19" s="97">
        <f t="shared" si="3"/>
        <v>0</v>
      </c>
      <c r="J19" s="97">
        <f t="shared" si="3"/>
        <v>0</v>
      </c>
      <c r="K19" s="97">
        <f t="shared" si="3"/>
        <v>0</v>
      </c>
      <c r="L19" s="97">
        <f t="shared" si="3"/>
        <v>0</v>
      </c>
      <c r="M19" s="97">
        <f t="shared" si="3"/>
        <v>0</v>
      </c>
      <c r="N19" s="97">
        <f t="shared" si="3"/>
        <v>0</v>
      </c>
      <c r="O19" s="96">
        <f>SUM(O20:O31)</f>
        <v>120</v>
      </c>
      <c r="P19" s="31"/>
    </row>
    <row r="20" spans="1:16" x14ac:dyDescent="0.3">
      <c r="A20" s="31"/>
      <c r="B20" s="28" t="str">
        <f>+Codigo!D15</f>
        <v>Prestação /Aluguel de imóvel</v>
      </c>
      <c r="C20" s="37">
        <v>10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151">
        <f t="shared" ref="O20:O31" si="4">SUM(C20:N20)</f>
        <v>10</v>
      </c>
      <c r="P20" s="31"/>
    </row>
    <row r="21" spans="1:16" x14ac:dyDescent="0.3">
      <c r="A21" s="31"/>
      <c r="B21" s="28" t="str">
        <f>+Codigo!D16</f>
        <v>Condomínio</v>
      </c>
      <c r="C21" s="37">
        <v>10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151">
        <f t="shared" si="4"/>
        <v>10</v>
      </c>
      <c r="P21" s="31"/>
    </row>
    <row r="22" spans="1:16" x14ac:dyDescent="0.3">
      <c r="A22" s="31"/>
      <c r="B22" s="28" t="str">
        <f>+Codigo!D17</f>
        <v>Consumo de água</v>
      </c>
      <c r="C22" s="37">
        <v>10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151">
        <f t="shared" si="4"/>
        <v>10</v>
      </c>
      <c r="P22" s="31"/>
    </row>
    <row r="23" spans="1:16" x14ac:dyDescent="0.3">
      <c r="A23" s="31"/>
      <c r="B23" s="28" t="str">
        <f>+Codigo!D18</f>
        <v>Serviço de limpeza( diarista ou mensalista)</v>
      </c>
      <c r="C23" s="37">
        <v>10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151">
        <f t="shared" si="4"/>
        <v>10</v>
      </c>
      <c r="P23" s="31"/>
    </row>
    <row r="24" spans="1:16" x14ac:dyDescent="0.3">
      <c r="A24" s="31"/>
      <c r="B24" s="28" t="str">
        <f>+Codigo!D19</f>
        <v>Energia Elétrica</v>
      </c>
      <c r="C24" s="37">
        <v>10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151">
        <f t="shared" si="4"/>
        <v>10</v>
      </c>
      <c r="P24" s="31"/>
    </row>
    <row r="25" spans="1:16" x14ac:dyDescent="0.3">
      <c r="A25" s="31"/>
      <c r="B25" s="28" t="str">
        <f>+Codigo!D20</f>
        <v>Gás</v>
      </c>
      <c r="C25" s="37">
        <v>10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151">
        <f t="shared" si="4"/>
        <v>10</v>
      </c>
      <c r="P25" s="31"/>
    </row>
    <row r="26" spans="1:16" x14ac:dyDescent="0.3">
      <c r="A26" s="31"/>
      <c r="B26" s="28" t="str">
        <f>+Codigo!D21</f>
        <v>IPTU</v>
      </c>
      <c r="C26" s="37">
        <v>10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151">
        <f t="shared" si="4"/>
        <v>10</v>
      </c>
      <c r="P26" s="31"/>
    </row>
    <row r="27" spans="1:16" x14ac:dyDescent="0.3">
      <c r="A27" s="31"/>
      <c r="B27" s="28" t="str">
        <f>+Codigo!D22</f>
        <v>Decoração da casa</v>
      </c>
      <c r="C27" s="37">
        <v>10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151">
        <f t="shared" si="4"/>
        <v>10</v>
      </c>
      <c r="P27" s="31"/>
    </row>
    <row r="28" spans="1:16" x14ac:dyDescent="0.3">
      <c r="A28" s="31"/>
      <c r="B28" s="28" t="str">
        <f>+Codigo!D23</f>
        <v>Manutenção / Reforma da casa</v>
      </c>
      <c r="C28" s="37">
        <v>10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151">
        <f t="shared" si="4"/>
        <v>10</v>
      </c>
      <c r="P28" s="31"/>
    </row>
    <row r="29" spans="1:16" x14ac:dyDescent="0.3">
      <c r="A29" s="31"/>
      <c r="B29" s="28" t="str">
        <f>+Codigo!D24</f>
        <v>Celular</v>
      </c>
      <c r="C29" s="37">
        <v>10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151">
        <f t="shared" si="4"/>
        <v>10</v>
      </c>
      <c r="P29" s="31"/>
    </row>
    <row r="30" spans="1:16" x14ac:dyDescent="0.3">
      <c r="A30" s="31"/>
      <c r="B30" s="28" t="str">
        <f>+Codigo!D25</f>
        <v>Telefone fixo</v>
      </c>
      <c r="C30" s="37">
        <v>10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151">
        <f t="shared" si="4"/>
        <v>10</v>
      </c>
      <c r="P30" s="31"/>
    </row>
    <row r="31" spans="1:16" x14ac:dyDescent="0.3">
      <c r="A31" s="31"/>
      <c r="B31" s="28" t="str">
        <f>+Codigo!D26</f>
        <v>Internet / TV a cabo</v>
      </c>
      <c r="C31" s="37">
        <v>10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151">
        <f t="shared" si="4"/>
        <v>10</v>
      </c>
      <c r="P31" s="31"/>
    </row>
    <row r="32" spans="1:16" ht="15" customHeight="1" x14ac:dyDescent="0.3">
      <c r="A32" s="31"/>
      <c r="B32" s="98" t="str">
        <f>+Codigo!C27</f>
        <v>Educação</v>
      </c>
      <c r="C32" s="97">
        <f>SUM(C33:C36)</f>
        <v>40</v>
      </c>
      <c r="D32" s="97">
        <f t="shared" ref="D32:N32" si="5">SUM(D33:D36)</f>
        <v>0</v>
      </c>
      <c r="E32" s="97">
        <f t="shared" si="5"/>
        <v>0</v>
      </c>
      <c r="F32" s="97">
        <f t="shared" si="5"/>
        <v>0</v>
      </c>
      <c r="G32" s="97">
        <f t="shared" si="5"/>
        <v>0</v>
      </c>
      <c r="H32" s="97">
        <f t="shared" si="5"/>
        <v>0</v>
      </c>
      <c r="I32" s="97">
        <f t="shared" si="5"/>
        <v>0</v>
      </c>
      <c r="J32" s="97">
        <f t="shared" si="5"/>
        <v>0</v>
      </c>
      <c r="K32" s="97">
        <f t="shared" si="5"/>
        <v>0</v>
      </c>
      <c r="L32" s="97">
        <f t="shared" si="5"/>
        <v>0</v>
      </c>
      <c r="M32" s="97">
        <f t="shared" si="5"/>
        <v>0</v>
      </c>
      <c r="N32" s="97">
        <f t="shared" si="5"/>
        <v>0</v>
      </c>
      <c r="O32" s="96">
        <f>SUM(O33:O36)</f>
        <v>40</v>
      </c>
      <c r="P32" s="31"/>
    </row>
    <row r="33" spans="1:16" x14ac:dyDescent="0.3">
      <c r="A33" s="31"/>
      <c r="B33" s="28" t="str">
        <f>+Codigo!D27</f>
        <v xml:space="preserve">Matricula Escolar/ Mensalidade </v>
      </c>
      <c r="C33" s="37">
        <v>10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51">
        <f>SUM(C33:N33)</f>
        <v>10</v>
      </c>
      <c r="P33" s="31"/>
    </row>
    <row r="34" spans="1:16" x14ac:dyDescent="0.3">
      <c r="A34" s="31"/>
      <c r="B34" s="28" t="str">
        <f>+Codigo!D28</f>
        <v>Material Escolar</v>
      </c>
      <c r="C34" s="37">
        <v>10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151">
        <f>SUM(C34:N34)</f>
        <v>10</v>
      </c>
      <c r="P34" s="31"/>
    </row>
    <row r="35" spans="1:16" x14ac:dyDescent="0.3">
      <c r="A35" s="31"/>
      <c r="B35" s="28" t="str">
        <f>+Codigo!D29</f>
        <v>Outros cursos</v>
      </c>
      <c r="C35" s="37">
        <v>10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151">
        <f>SUM(C35:N35)</f>
        <v>10</v>
      </c>
      <c r="P35" s="31"/>
    </row>
    <row r="36" spans="1:16" x14ac:dyDescent="0.3">
      <c r="A36" s="31"/>
      <c r="B36" s="28" t="str">
        <f>+Codigo!D30</f>
        <v>Transporte escolar</v>
      </c>
      <c r="C36" s="37">
        <v>10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151">
        <f>SUM(C36:N36)</f>
        <v>10</v>
      </c>
      <c r="P36" s="31"/>
    </row>
    <row r="37" spans="1:16" ht="15" customHeight="1" x14ac:dyDescent="0.3">
      <c r="A37" s="31"/>
      <c r="B37" s="98" t="str">
        <f>+Codigo!C31</f>
        <v>Animal de Estimação</v>
      </c>
      <c r="C37" s="97">
        <f>SUM(C38:C41)</f>
        <v>40</v>
      </c>
      <c r="D37" s="97">
        <f t="shared" ref="D37:N37" si="6">SUM(D38:D41)</f>
        <v>0</v>
      </c>
      <c r="E37" s="97">
        <f t="shared" si="6"/>
        <v>0</v>
      </c>
      <c r="F37" s="97">
        <f t="shared" si="6"/>
        <v>0</v>
      </c>
      <c r="G37" s="97">
        <f t="shared" si="6"/>
        <v>0</v>
      </c>
      <c r="H37" s="97">
        <f t="shared" si="6"/>
        <v>0</v>
      </c>
      <c r="I37" s="97">
        <f t="shared" si="6"/>
        <v>0</v>
      </c>
      <c r="J37" s="97">
        <f t="shared" si="6"/>
        <v>0</v>
      </c>
      <c r="K37" s="97">
        <f t="shared" si="6"/>
        <v>0</v>
      </c>
      <c r="L37" s="97">
        <f t="shared" si="6"/>
        <v>0</v>
      </c>
      <c r="M37" s="97">
        <f t="shared" si="6"/>
        <v>0</v>
      </c>
      <c r="N37" s="97">
        <f t="shared" si="6"/>
        <v>0</v>
      </c>
      <c r="O37" s="96">
        <f>SUM(O38:O41)</f>
        <v>40</v>
      </c>
      <c r="P37" s="31"/>
    </row>
    <row r="38" spans="1:16" x14ac:dyDescent="0.3">
      <c r="A38" s="31"/>
      <c r="B38" s="28" t="str">
        <f>+Codigo!D31</f>
        <v xml:space="preserve">Ração </v>
      </c>
      <c r="C38" s="37">
        <v>10</v>
      </c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151">
        <f>SUM(C38:N38)</f>
        <v>10</v>
      </c>
      <c r="P38" s="31"/>
    </row>
    <row r="39" spans="1:16" x14ac:dyDescent="0.3">
      <c r="A39" s="31"/>
      <c r="B39" s="28" t="str">
        <f>+Codigo!D32</f>
        <v>Banho / Tosa</v>
      </c>
      <c r="C39" s="37">
        <v>10</v>
      </c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151">
        <f>SUM(C39:N39)</f>
        <v>10</v>
      </c>
      <c r="P39" s="31"/>
    </row>
    <row r="40" spans="1:16" x14ac:dyDescent="0.3">
      <c r="A40" s="31"/>
      <c r="B40" s="28" t="str">
        <f>+Codigo!D33</f>
        <v>Veterinário / medicamento</v>
      </c>
      <c r="C40" s="37">
        <v>10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151">
        <f>SUM(C40:N40)</f>
        <v>10</v>
      </c>
      <c r="P40" s="31"/>
    </row>
    <row r="41" spans="1:16" x14ac:dyDescent="0.3">
      <c r="A41" s="31"/>
      <c r="B41" s="28" t="str">
        <f>+Codigo!D34</f>
        <v>Outros (acessórios, brinquedos, hotel, dog walker)</v>
      </c>
      <c r="C41" s="37">
        <v>10</v>
      </c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151">
        <f>SUM(C41:N41)</f>
        <v>10</v>
      </c>
      <c r="P41" s="31"/>
    </row>
    <row r="42" spans="1:16" ht="15" customHeight="1" x14ac:dyDescent="0.3">
      <c r="A42" s="31"/>
      <c r="B42" s="98" t="str">
        <f>+Codigo!C35</f>
        <v>Saúde</v>
      </c>
      <c r="C42" s="97">
        <f>SUM(C43:C48)</f>
        <v>60</v>
      </c>
      <c r="D42" s="97">
        <f t="shared" ref="D42:N42" si="7">SUM(D43:D48)</f>
        <v>0</v>
      </c>
      <c r="E42" s="97">
        <f t="shared" si="7"/>
        <v>0</v>
      </c>
      <c r="F42" s="97">
        <f t="shared" si="7"/>
        <v>0</v>
      </c>
      <c r="G42" s="97">
        <f t="shared" si="7"/>
        <v>0</v>
      </c>
      <c r="H42" s="97">
        <f t="shared" si="7"/>
        <v>0</v>
      </c>
      <c r="I42" s="97">
        <f t="shared" si="7"/>
        <v>0</v>
      </c>
      <c r="J42" s="97">
        <f t="shared" si="7"/>
        <v>0</v>
      </c>
      <c r="K42" s="97">
        <f t="shared" si="7"/>
        <v>0</v>
      </c>
      <c r="L42" s="97">
        <f t="shared" si="7"/>
        <v>0</v>
      </c>
      <c r="M42" s="97">
        <f t="shared" si="7"/>
        <v>0</v>
      </c>
      <c r="N42" s="97">
        <f t="shared" si="7"/>
        <v>0</v>
      </c>
      <c r="O42" s="96">
        <f>SUM(O43:O48)</f>
        <v>60</v>
      </c>
      <c r="P42" s="31"/>
    </row>
    <row r="43" spans="1:16" x14ac:dyDescent="0.3">
      <c r="A43" s="31"/>
      <c r="B43" s="28" t="str">
        <f>+Codigo!D35</f>
        <v>Plano de saúde</v>
      </c>
      <c r="C43" s="37">
        <v>10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151">
        <f t="shared" ref="O43:O48" si="8">SUM(C43:N43)</f>
        <v>10</v>
      </c>
      <c r="P43" s="31"/>
    </row>
    <row r="44" spans="1:16" x14ac:dyDescent="0.3">
      <c r="A44" s="31"/>
      <c r="B44" s="28" t="str">
        <f>+Codigo!D36</f>
        <v>Medicamentos</v>
      </c>
      <c r="C44" s="37">
        <v>10</v>
      </c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151">
        <f t="shared" si="8"/>
        <v>10</v>
      </c>
      <c r="P44" s="31"/>
    </row>
    <row r="45" spans="1:16" x14ac:dyDescent="0.3">
      <c r="A45" s="31"/>
      <c r="B45" s="28" t="str">
        <f>+Codigo!D37</f>
        <v>Dentista</v>
      </c>
      <c r="C45" s="37">
        <v>10</v>
      </c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151">
        <f t="shared" si="8"/>
        <v>10</v>
      </c>
      <c r="P45" s="31"/>
    </row>
    <row r="46" spans="1:16" x14ac:dyDescent="0.3">
      <c r="A46" s="31"/>
      <c r="B46" s="28" t="str">
        <f>+Codigo!D38</f>
        <v>Terapia / Psicólogo  / Acupuntura</v>
      </c>
      <c r="C46" s="37">
        <v>10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151">
        <f t="shared" si="8"/>
        <v>10</v>
      </c>
      <c r="P46" s="31"/>
    </row>
    <row r="47" spans="1:16" x14ac:dyDescent="0.3">
      <c r="A47" s="31"/>
      <c r="B47" s="28" t="str">
        <f>+Codigo!D39</f>
        <v>Médicos/Exames fora do plano de saúde</v>
      </c>
      <c r="C47" s="37">
        <v>10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151">
        <f t="shared" si="8"/>
        <v>10</v>
      </c>
      <c r="P47" s="31"/>
    </row>
    <row r="48" spans="1:16" x14ac:dyDescent="0.3">
      <c r="A48" s="31"/>
      <c r="B48" s="28" t="str">
        <f>+Codigo!D40</f>
        <v>Academia / Tratamento Estético</v>
      </c>
      <c r="C48" s="37">
        <v>10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151">
        <f t="shared" si="8"/>
        <v>10</v>
      </c>
      <c r="P48" s="31"/>
    </row>
    <row r="49" spans="1:16" ht="15" customHeight="1" x14ac:dyDescent="0.3">
      <c r="A49" s="31"/>
      <c r="B49" s="98" t="str">
        <f>+Codigo!C41</f>
        <v>Transporte</v>
      </c>
      <c r="C49" s="97">
        <f>SUM(C50:C58)</f>
        <v>90</v>
      </c>
      <c r="D49" s="97">
        <f t="shared" ref="D49:N49" si="9">SUM(D50:D58)</f>
        <v>0</v>
      </c>
      <c r="E49" s="97">
        <f t="shared" si="9"/>
        <v>0</v>
      </c>
      <c r="F49" s="97">
        <f t="shared" si="9"/>
        <v>0</v>
      </c>
      <c r="G49" s="97">
        <f t="shared" si="9"/>
        <v>0</v>
      </c>
      <c r="H49" s="97">
        <f t="shared" si="9"/>
        <v>0</v>
      </c>
      <c r="I49" s="97">
        <f t="shared" si="9"/>
        <v>0</v>
      </c>
      <c r="J49" s="97">
        <f t="shared" si="9"/>
        <v>0</v>
      </c>
      <c r="K49" s="97">
        <f t="shared" si="9"/>
        <v>0</v>
      </c>
      <c r="L49" s="97">
        <f t="shared" si="9"/>
        <v>0</v>
      </c>
      <c r="M49" s="97">
        <f t="shared" si="9"/>
        <v>0</v>
      </c>
      <c r="N49" s="97">
        <f t="shared" si="9"/>
        <v>0</v>
      </c>
      <c r="O49" s="96">
        <f>SUM(O50:O58)</f>
        <v>90</v>
      </c>
      <c r="P49" s="31"/>
    </row>
    <row r="50" spans="1:16" x14ac:dyDescent="0.3">
      <c r="A50" s="31"/>
      <c r="B50" s="28" t="str">
        <f>+Codigo!D41</f>
        <v>Ônibus / Metrô</v>
      </c>
      <c r="C50" s="37">
        <v>10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151">
        <f t="shared" ref="O50:O58" si="10">SUM(C50:N50)</f>
        <v>10</v>
      </c>
      <c r="P50" s="31"/>
    </row>
    <row r="51" spans="1:16" x14ac:dyDescent="0.3">
      <c r="A51" s="31"/>
      <c r="B51" s="28" t="str">
        <f>+Codigo!D42</f>
        <v>Taxi</v>
      </c>
      <c r="C51" s="37">
        <v>10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151">
        <f t="shared" si="10"/>
        <v>10</v>
      </c>
      <c r="P51" s="31"/>
    </row>
    <row r="52" spans="1:16" x14ac:dyDescent="0.3">
      <c r="A52" s="31"/>
      <c r="B52" s="28" t="str">
        <f>+Codigo!D43</f>
        <v>Combustível</v>
      </c>
      <c r="C52" s="37">
        <v>10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151">
        <f t="shared" si="10"/>
        <v>10</v>
      </c>
      <c r="P52" s="31"/>
    </row>
    <row r="53" spans="1:16" x14ac:dyDescent="0.3">
      <c r="A53" s="31"/>
      <c r="B53" s="28" t="str">
        <f>+Codigo!D44</f>
        <v>Estacionamento</v>
      </c>
      <c r="C53" s="37">
        <v>10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151">
        <f t="shared" si="10"/>
        <v>10</v>
      </c>
      <c r="P53" s="31"/>
    </row>
    <row r="54" spans="1:16" x14ac:dyDescent="0.3">
      <c r="A54" s="31"/>
      <c r="B54" s="28" t="str">
        <f>+Codigo!D45</f>
        <v>Seguro Auto</v>
      </c>
      <c r="C54" s="37">
        <v>10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151">
        <f t="shared" si="10"/>
        <v>10</v>
      </c>
      <c r="P54" s="31"/>
    </row>
    <row r="55" spans="1:16" x14ac:dyDescent="0.3">
      <c r="A55" s="31"/>
      <c r="B55" s="28" t="str">
        <f>+Codigo!D46</f>
        <v>Manutenção / Lavagem / Troca de óleo</v>
      </c>
      <c r="C55" s="37">
        <v>10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151">
        <f t="shared" si="10"/>
        <v>10</v>
      </c>
      <c r="P55" s="31"/>
    </row>
    <row r="56" spans="1:16" x14ac:dyDescent="0.3">
      <c r="A56" s="31"/>
      <c r="B56" s="28" t="str">
        <f>+Codigo!D47</f>
        <v>Licenciamento</v>
      </c>
      <c r="C56" s="37">
        <v>10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151">
        <f t="shared" si="10"/>
        <v>10</v>
      </c>
      <c r="P56" s="31"/>
    </row>
    <row r="57" spans="1:16" x14ac:dyDescent="0.3">
      <c r="A57" s="31"/>
      <c r="B57" s="28" t="str">
        <f>+Codigo!D48</f>
        <v>Pedágio</v>
      </c>
      <c r="C57" s="37">
        <v>10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151">
        <f t="shared" si="10"/>
        <v>10</v>
      </c>
      <c r="P57" s="31"/>
    </row>
    <row r="58" spans="1:16" x14ac:dyDescent="0.3">
      <c r="A58" s="31"/>
      <c r="B58" s="28" t="str">
        <f>+Codigo!D49</f>
        <v>IPVA</v>
      </c>
      <c r="C58" s="37">
        <v>10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151">
        <f t="shared" si="10"/>
        <v>10</v>
      </c>
      <c r="P58" s="31"/>
    </row>
    <row r="59" spans="1:16" ht="15" customHeight="1" x14ac:dyDescent="0.3">
      <c r="A59" s="31"/>
      <c r="B59" s="98" t="str">
        <f>+Codigo!C50</f>
        <v>Pessoais</v>
      </c>
      <c r="C59" s="97">
        <f>SUM(C60:C63)</f>
        <v>40</v>
      </c>
      <c r="D59" s="97">
        <f t="shared" ref="D59:N59" si="11">SUM(D60:D63)</f>
        <v>0</v>
      </c>
      <c r="E59" s="97">
        <f t="shared" si="11"/>
        <v>0</v>
      </c>
      <c r="F59" s="97">
        <f t="shared" si="11"/>
        <v>0</v>
      </c>
      <c r="G59" s="97">
        <f t="shared" si="11"/>
        <v>0</v>
      </c>
      <c r="H59" s="97">
        <f t="shared" si="11"/>
        <v>0</v>
      </c>
      <c r="I59" s="97">
        <f t="shared" si="11"/>
        <v>0</v>
      </c>
      <c r="J59" s="97">
        <f t="shared" si="11"/>
        <v>0</v>
      </c>
      <c r="K59" s="97">
        <f t="shared" si="11"/>
        <v>0</v>
      </c>
      <c r="L59" s="97">
        <f t="shared" si="11"/>
        <v>0</v>
      </c>
      <c r="M59" s="97">
        <f t="shared" si="11"/>
        <v>0</v>
      </c>
      <c r="N59" s="97">
        <f t="shared" si="11"/>
        <v>0</v>
      </c>
      <c r="O59" s="96">
        <f>SUM(O60:O63)</f>
        <v>40</v>
      </c>
      <c r="P59" s="31"/>
    </row>
    <row r="60" spans="1:16" x14ac:dyDescent="0.3">
      <c r="A60" s="31"/>
      <c r="B60" s="28" t="str">
        <f>+Codigo!D50</f>
        <v>Vestuário / Calçados / Acessórios</v>
      </c>
      <c r="C60" s="37">
        <v>10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151">
        <f>SUM(C60:N60)</f>
        <v>10</v>
      </c>
      <c r="P60" s="31"/>
    </row>
    <row r="61" spans="1:16" x14ac:dyDescent="0.3">
      <c r="A61" s="31"/>
      <c r="B61" s="28" t="str">
        <f>+Codigo!D51</f>
        <v>Cabeleireiro / Manicure / Higiene pessoal</v>
      </c>
      <c r="C61" s="37">
        <v>10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151">
        <f>SUM(C61:N61)</f>
        <v>10</v>
      </c>
      <c r="P61" s="31"/>
    </row>
    <row r="62" spans="1:16" x14ac:dyDescent="0.3">
      <c r="A62" s="31"/>
      <c r="B62" s="28" t="str">
        <f>+Codigo!D52</f>
        <v xml:space="preserve">Presentes </v>
      </c>
      <c r="C62" s="37">
        <v>10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151">
        <f>SUM(C62:N62)</f>
        <v>10</v>
      </c>
      <c r="P62" s="31"/>
    </row>
    <row r="63" spans="1:16" x14ac:dyDescent="0.3">
      <c r="A63" s="31"/>
      <c r="B63" s="28" t="str">
        <f>+Codigo!D53</f>
        <v xml:space="preserve">Outros  </v>
      </c>
      <c r="C63" s="37">
        <v>10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151">
        <f>SUM(C63:N63)</f>
        <v>10</v>
      </c>
      <c r="P63" s="31"/>
    </row>
    <row r="64" spans="1:16" ht="15" customHeight="1" x14ac:dyDescent="0.3">
      <c r="A64" s="31"/>
      <c r="B64" s="98" t="str">
        <f>+Codigo!C54</f>
        <v>Lazer</v>
      </c>
      <c r="C64" s="97">
        <f>SUM(C65:C69)</f>
        <v>40</v>
      </c>
      <c r="D64" s="97">
        <f t="shared" ref="D64:N64" si="12">SUM(D65:D69)</f>
        <v>0</v>
      </c>
      <c r="E64" s="97">
        <f t="shared" si="12"/>
        <v>0</v>
      </c>
      <c r="F64" s="97">
        <f t="shared" si="12"/>
        <v>0</v>
      </c>
      <c r="G64" s="97">
        <f t="shared" si="12"/>
        <v>0</v>
      </c>
      <c r="H64" s="97">
        <f t="shared" si="12"/>
        <v>0</v>
      </c>
      <c r="I64" s="97">
        <f t="shared" si="12"/>
        <v>0</v>
      </c>
      <c r="J64" s="97">
        <f t="shared" si="12"/>
        <v>0</v>
      </c>
      <c r="K64" s="97">
        <f t="shared" si="12"/>
        <v>0</v>
      </c>
      <c r="L64" s="97">
        <f t="shared" si="12"/>
        <v>0</v>
      </c>
      <c r="M64" s="97">
        <f t="shared" si="12"/>
        <v>0</v>
      </c>
      <c r="N64" s="97">
        <f t="shared" si="12"/>
        <v>0</v>
      </c>
      <c r="O64" s="96">
        <f>SUM(O65:O69)</f>
        <v>40</v>
      </c>
      <c r="P64" s="31"/>
    </row>
    <row r="65" spans="1:17" x14ac:dyDescent="0.3">
      <c r="A65" s="31"/>
      <c r="B65" s="28" t="str">
        <f>+Codigo!D54</f>
        <v>Cinema / Teatro / Shows</v>
      </c>
      <c r="C65" s="37">
        <v>10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151">
        <f>SUM(C65:N65)</f>
        <v>10</v>
      </c>
      <c r="P65" s="31"/>
    </row>
    <row r="66" spans="1:17" x14ac:dyDescent="0.3">
      <c r="A66" s="31"/>
      <c r="B66" s="28" t="str">
        <f>+Codigo!D55</f>
        <v xml:space="preserve">Livros / Revistas / Cd´s </v>
      </c>
      <c r="C66" s="37">
        <v>10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151">
        <f>SUM(C66:N66)</f>
        <v>10</v>
      </c>
      <c r="P66" s="31"/>
    </row>
    <row r="67" spans="1:17" x14ac:dyDescent="0.3">
      <c r="A67" s="31"/>
      <c r="B67" s="28" t="str">
        <f>+Codigo!D56</f>
        <v>Clube / Parques / Casa Noturna</v>
      </c>
      <c r="C67" s="37">
        <v>10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151">
        <f>SUM(C67:N67)</f>
        <v>10</v>
      </c>
      <c r="P67" s="31"/>
    </row>
    <row r="68" spans="1:17" x14ac:dyDescent="0.3">
      <c r="A68" s="31"/>
      <c r="B68" s="28" t="str">
        <f>+Codigo!D57</f>
        <v xml:space="preserve">Viagens 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151">
        <f>SUM(C68:N68)</f>
        <v>0</v>
      </c>
      <c r="P68" s="31"/>
    </row>
    <row r="69" spans="1:17" x14ac:dyDescent="0.3">
      <c r="A69" s="31"/>
      <c r="B69" s="28" t="str">
        <f>+Codigo!D58</f>
        <v>Restaurantes / Bares / Festas</v>
      </c>
      <c r="C69" s="37">
        <v>10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151">
        <f>SUM(C69:N69)</f>
        <v>10</v>
      </c>
      <c r="P69" s="31"/>
    </row>
    <row r="70" spans="1:17" ht="15" customHeight="1" x14ac:dyDescent="0.3">
      <c r="A70" s="31"/>
      <c r="B70" s="98" t="str">
        <f>+Codigo!C59</f>
        <v>Serviços Financeiros</v>
      </c>
      <c r="C70" s="97">
        <f>SUM(C71:C77)</f>
        <v>70</v>
      </c>
      <c r="D70" s="97">
        <f t="shared" ref="D70:N70" si="13">SUM(D71:D77)</f>
        <v>0</v>
      </c>
      <c r="E70" s="97">
        <f t="shared" si="13"/>
        <v>0</v>
      </c>
      <c r="F70" s="97">
        <f t="shared" si="13"/>
        <v>0</v>
      </c>
      <c r="G70" s="97">
        <f t="shared" si="13"/>
        <v>0</v>
      </c>
      <c r="H70" s="97">
        <f t="shared" si="13"/>
        <v>0</v>
      </c>
      <c r="I70" s="97">
        <f t="shared" si="13"/>
        <v>0</v>
      </c>
      <c r="J70" s="97">
        <f t="shared" si="13"/>
        <v>0</v>
      </c>
      <c r="K70" s="97">
        <f t="shared" si="13"/>
        <v>0</v>
      </c>
      <c r="L70" s="97">
        <f t="shared" si="13"/>
        <v>0</v>
      </c>
      <c r="M70" s="97">
        <f t="shared" si="13"/>
        <v>0</v>
      </c>
      <c r="N70" s="97">
        <f t="shared" si="13"/>
        <v>0</v>
      </c>
      <c r="O70" s="97">
        <f>SUM(O71:O77)</f>
        <v>70</v>
      </c>
      <c r="P70" s="31"/>
    </row>
    <row r="71" spans="1:17" x14ac:dyDescent="0.3">
      <c r="A71" s="31"/>
      <c r="B71" s="28" t="str">
        <f>+Codigo!D59</f>
        <v>Empréstimos</v>
      </c>
      <c r="C71" s="37">
        <v>10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152">
        <f t="shared" ref="O71:O77" si="14">SUM(C71:N71)</f>
        <v>10</v>
      </c>
      <c r="P71" s="31"/>
    </row>
    <row r="72" spans="1:17" x14ac:dyDescent="0.3">
      <c r="A72" s="31"/>
      <c r="B72" s="28" t="str">
        <f>+Codigo!D60</f>
        <v>Seguros (vida/residencial)</v>
      </c>
      <c r="C72" s="37">
        <v>10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152">
        <f t="shared" si="14"/>
        <v>10</v>
      </c>
      <c r="P72" s="31"/>
    </row>
    <row r="73" spans="1:17" x14ac:dyDescent="0.3">
      <c r="A73" s="31"/>
      <c r="B73" s="28" t="str">
        <f>+Codigo!D61</f>
        <v>Previdência privada</v>
      </c>
      <c r="C73" s="37">
        <v>10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152">
        <f t="shared" si="14"/>
        <v>10</v>
      </c>
      <c r="P73" s="31"/>
    </row>
    <row r="74" spans="1:17" x14ac:dyDescent="0.3">
      <c r="A74" s="31"/>
      <c r="B74" s="28" t="str">
        <f>+Codigo!D62</f>
        <v>Juros Cheque Especial</v>
      </c>
      <c r="C74" s="37">
        <v>10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152">
        <f t="shared" si="14"/>
        <v>10</v>
      </c>
      <c r="P74" s="31"/>
    </row>
    <row r="75" spans="1:17" x14ac:dyDescent="0.3">
      <c r="A75" s="31"/>
      <c r="B75" s="28" t="str">
        <f>+Codigo!D63</f>
        <v>Tarifas bancárias</v>
      </c>
      <c r="C75" s="37">
        <v>10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152">
        <f t="shared" si="14"/>
        <v>10</v>
      </c>
      <c r="P75" s="31"/>
    </row>
    <row r="76" spans="1:17" x14ac:dyDescent="0.3">
      <c r="A76" s="31"/>
      <c r="B76" s="28" t="str">
        <f>+Codigo!D64</f>
        <v>Financiamento de veículo</v>
      </c>
      <c r="C76" s="37">
        <v>10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152">
        <f t="shared" si="14"/>
        <v>10</v>
      </c>
      <c r="P76" s="31"/>
    </row>
    <row r="77" spans="1:17" x14ac:dyDescent="0.3">
      <c r="A77" s="31"/>
      <c r="B77" s="28" t="str">
        <f>+Codigo!D66</f>
        <v xml:space="preserve">Imposto de Renda a Pagar </v>
      </c>
      <c r="C77" s="37">
        <v>10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152">
        <f t="shared" si="14"/>
        <v>10</v>
      </c>
      <c r="P77" s="31"/>
    </row>
    <row r="78" spans="1:17" s="27" customFormat="1" ht="17.25" customHeight="1" x14ac:dyDescent="0.3">
      <c r="A78" s="25"/>
      <c r="B78" s="25" t="s">
        <v>83</v>
      </c>
      <c r="C78" s="44">
        <f t="shared" ref="C78:O78" si="15">+C13+C19+C32+C37+C42+C49+C59+C64+C70</f>
        <v>550</v>
      </c>
      <c r="D78" s="44">
        <f t="shared" si="15"/>
        <v>0</v>
      </c>
      <c r="E78" s="44">
        <f t="shared" si="15"/>
        <v>0</v>
      </c>
      <c r="F78" s="44">
        <f t="shared" si="15"/>
        <v>0</v>
      </c>
      <c r="G78" s="44">
        <f t="shared" si="15"/>
        <v>0</v>
      </c>
      <c r="H78" s="44">
        <f t="shared" si="15"/>
        <v>0</v>
      </c>
      <c r="I78" s="44">
        <f t="shared" si="15"/>
        <v>0</v>
      </c>
      <c r="J78" s="44">
        <f t="shared" si="15"/>
        <v>0</v>
      </c>
      <c r="K78" s="44">
        <f t="shared" si="15"/>
        <v>0</v>
      </c>
      <c r="L78" s="44">
        <f t="shared" si="15"/>
        <v>0</v>
      </c>
      <c r="M78" s="44">
        <f t="shared" si="15"/>
        <v>0</v>
      </c>
      <c r="N78" s="44">
        <f t="shared" si="15"/>
        <v>0</v>
      </c>
      <c r="O78" s="44">
        <f t="shared" si="15"/>
        <v>550</v>
      </c>
      <c r="P78" s="31"/>
      <c r="Q78" s="26"/>
    </row>
    <row r="79" spans="1:17" s="102" customFormat="1" ht="3" customHeight="1" x14ac:dyDescent="0.3">
      <c r="A79" s="25"/>
      <c r="B79" s="99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31"/>
      <c r="Q79" s="101"/>
    </row>
    <row r="80" spans="1:17" ht="15.6" x14ac:dyDescent="0.3">
      <c r="A80" s="25"/>
      <c r="B80" s="103" t="s">
        <v>234</v>
      </c>
      <c r="C80" s="104">
        <f t="shared" ref="C80:O80" si="16">+C10-C78</f>
        <v>10</v>
      </c>
      <c r="D80" s="104">
        <f t="shared" si="16"/>
        <v>0</v>
      </c>
      <c r="E80" s="104">
        <f t="shared" si="16"/>
        <v>0</v>
      </c>
      <c r="F80" s="104">
        <f t="shared" si="16"/>
        <v>0</v>
      </c>
      <c r="G80" s="104">
        <f t="shared" si="16"/>
        <v>0</v>
      </c>
      <c r="H80" s="104">
        <f t="shared" si="16"/>
        <v>0</v>
      </c>
      <c r="I80" s="104">
        <f t="shared" si="16"/>
        <v>0</v>
      </c>
      <c r="J80" s="104">
        <f t="shared" si="16"/>
        <v>0</v>
      </c>
      <c r="K80" s="104">
        <f t="shared" si="16"/>
        <v>0</v>
      </c>
      <c r="L80" s="104">
        <f t="shared" si="16"/>
        <v>0</v>
      </c>
      <c r="M80" s="104">
        <f t="shared" si="16"/>
        <v>0</v>
      </c>
      <c r="N80" s="104">
        <f t="shared" si="16"/>
        <v>0</v>
      </c>
      <c r="O80" s="104">
        <f t="shared" si="16"/>
        <v>10</v>
      </c>
      <c r="P80" s="31"/>
    </row>
    <row r="81" spans="1:17" ht="5.25" customHeight="1" x14ac:dyDescent="0.35">
      <c r="A81" s="25"/>
      <c r="B81" s="20"/>
      <c r="O81" s="21"/>
      <c r="P81" s="31"/>
      <c r="Q81" s="19"/>
    </row>
    <row r="82" spans="1:17" s="27" customFormat="1" ht="18.75" customHeight="1" x14ac:dyDescent="0.35">
      <c r="A82" s="25"/>
      <c r="B82" s="42" t="s">
        <v>242</v>
      </c>
      <c r="C82" s="44">
        <f>+C10-C78</f>
        <v>10</v>
      </c>
      <c r="D82" s="44">
        <f>+D80+C82</f>
        <v>10</v>
      </c>
      <c r="E82" s="44">
        <f t="shared" ref="E82:N82" si="17">+E80+D82</f>
        <v>10</v>
      </c>
      <c r="F82" s="44">
        <f t="shared" si="17"/>
        <v>10</v>
      </c>
      <c r="G82" s="44">
        <f t="shared" si="17"/>
        <v>10</v>
      </c>
      <c r="H82" s="44">
        <f t="shared" si="17"/>
        <v>10</v>
      </c>
      <c r="I82" s="44">
        <f t="shared" si="17"/>
        <v>10</v>
      </c>
      <c r="J82" s="44">
        <f t="shared" si="17"/>
        <v>10</v>
      </c>
      <c r="K82" s="44">
        <f t="shared" si="17"/>
        <v>10</v>
      </c>
      <c r="L82" s="44">
        <f t="shared" si="17"/>
        <v>10</v>
      </c>
      <c r="M82" s="44">
        <f t="shared" si="17"/>
        <v>10</v>
      </c>
      <c r="N82" s="44">
        <f t="shared" si="17"/>
        <v>10</v>
      </c>
      <c r="O82" s="44"/>
      <c r="P82" s="31"/>
      <c r="Q82" s="26"/>
    </row>
    <row r="83" spans="1:17" x14ac:dyDescent="0.3"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</row>
    <row r="84" spans="1:17" ht="32.25" customHeight="1" x14ac:dyDescent="0.3">
      <c r="B84" s="87" t="s">
        <v>239</v>
      </c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5"/>
      <c r="O84" s="86"/>
      <c r="P84" s="84"/>
    </row>
    <row r="85" spans="1:17" ht="14.25" customHeight="1" x14ac:dyDescent="0.3">
      <c r="A85" s="24"/>
      <c r="B85" s="83" t="s">
        <v>236</v>
      </c>
      <c r="C85" s="23" t="s">
        <v>51</v>
      </c>
      <c r="D85" s="23" t="s">
        <v>52</v>
      </c>
      <c r="E85" s="23" t="s">
        <v>53</v>
      </c>
      <c r="F85" s="23" t="s">
        <v>54</v>
      </c>
      <c r="G85" s="23" t="s">
        <v>55</v>
      </c>
      <c r="H85" s="23" t="s">
        <v>56</v>
      </c>
      <c r="I85" s="23" t="s">
        <v>57</v>
      </c>
      <c r="J85" s="23" t="s">
        <v>58</v>
      </c>
      <c r="K85" s="23" t="s">
        <v>59</v>
      </c>
      <c r="L85" s="23" t="s">
        <v>60</v>
      </c>
      <c r="M85" s="23" t="s">
        <v>61</v>
      </c>
      <c r="N85" s="23" t="s">
        <v>62</v>
      </c>
      <c r="O85" s="23" t="s">
        <v>268</v>
      </c>
      <c r="P85" s="24"/>
    </row>
    <row r="86" spans="1:17" ht="15.75" customHeight="1" x14ac:dyDescent="0.3">
      <c r="A86" s="30"/>
      <c r="B86" s="45" t="str">
        <f>+B3</f>
        <v>Receita</v>
      </c>
      <c r="C86" s="45">
        <f t="shared" ref="C86:N86" si="18">+C10</f>
        <v>560</v>
      </c>
      <c r="D86" s="45">
        <f t="shared" si="18"/>
        <v>0</v>
      </c>
      <c r="E86" s="45">
        <f t="shared" si="18"/>
        <v>0</v>
      </c>
      <c r="F86" s="45">
        <f t="shared" si="18"/>
        <v>0</v>
      </c>
      <c r="G86" s="45">
        <f t="shared" si="18"/>
        <v>0</v>
      </c>
      <c r="H86" s="45">
        <f t="shared" si="18"/>
        <v>0</v>
      </c>
      <c r="I86" s="45">
        <f t="shared" si="18"/>
        <v>0</v>
      </c>
      <c r="J86" s="45">
        <f t="shared" si="18"/>
        <v>0</v>
      </c>
      <c r="K86" s="45">
        <f t="shared" si="18"/>
        <v>0</v>
      </c>
      <c r="L86" s="45">
        <f t="shared" si="18"/>
        <v>0</v>
      </c>
      <c r="M86" s="45">
        <f t="shared" si="18"/>
        <v>0</v>
      </c>
      <c r="N86" s="45">
        <f t="shared" si="18"/>
        <v>0</v>
      </c>
      <c r="O86" s="92">
        <f>SUM(C86:N86)</f>
        <v>560</v>
      </c>
      <c r="P86" s="30"/>
    </row>
    <row r="87" spans="1:17" ht="3.75" customHeight="1" x14ac:dyDescent="0.3">
      <c r="A87" s="30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30"/>
    </row>
    <row r="88" spans="1:17" x14ac:dyDescent="0.3">
      <c r="A88" s="30"/>
      <c r="B88" s="91" t="s">
        <v>235</v>
      </c>
      <c r="C88" s="91">
        <f>SUM(C89:C97)</f>
        <v>550</v>
      </c>
      <c r="D88" s="91">
        <f t="shared" ref="D88:N88" si="19">SUM(D89:D97)</f>
        <v>0</v>
      </c>
      <c r="E88" s="91">
        <f t="shared" si="19"/>
        <v>0</v>
      </c>
      <c r="F88" s="91">
        <f t="shared" si="19"/>
        <v>0</v>
      </c>
      <c r="G88" s="91">
        <f t="shared" si="19"/>
        <v>0</v>
      </c>
      <c r="H88" s="91">
        <f t="shared" si="19"/>
        <v>0</v>
      </c>
      <c r="I88" s="91">
        <f t="shared" si="19"/>
        <v>0</v>
      </c>
      <c r="J88" s="91">
        <f t="shared" si="19"/>
        <v>0</v>
      </c>
      <c r="K88" s="91">
        <f t="shared" si="19"/>
        <v>0</v>
      </c>
      <c r="L88" s="91">
        <f t="shared" si="19"/>
        <v>0</v>
      </c>
      <c r="M88" s="91">
        <f t="shared" si="19"/>
        <v>0</v>
      </c>
      <c r="N88" s="91">
        <f t="shared" si="19"/>
        <v>0</v>
      </c>
      <c r="O88" s="92">
        <f>SUM(C88:N88)</f>
        <v>550</v>
      </c>
      <c r="P88" s="30"/>
    </row>
    <row r="89" spans="1:17" ht="15" customHeight="1" x14ac:dyDescent="0.3">
      <c r="A89" s="31"/>
      <c r="B89" s="37" t="str">
        <f>+B13</f>
        <v>Alimentação</v>
      </c>
      <c r="C89" s="37">
        <f t="shared" ref="C89:N89" si="20">+C13</f>
        <v>50</v>
      </c>
      <c r="D89" s="37">
        <f t="shared" si="20"/>
        <v>0</v>
      </c>
      <c r="E89" s="37">
        <f t="shared" si="20"/>
        <v>0</v>
      </c>
      <c r="F89" s="37">
        <f t="shared" si="20"/>
        <v>0</v>
      </c>
      <c r="G89" s="37">
        <f t="shared" si="20"/>
        <v>0</v>
      </c>
      <c r="H89" s="37">
        <f t="shared" si="20"/>
        <v>0</v>
      </c>
      <c r="I89" s="37">
        <f t="shared" si="20"/>
        <v>0</v>
      </c>
      <c r="J89" s="37">
        <f t="shared" si="20"/>
        <v>0</v>
      </c>
      <c r="K89" s="37">
        <f t="shared" si="20"/>
        <v>0</v>
      </c>
      <c r="L89" s="37">
        <f t="shared" si="20"/>
        <v>0</v>
      </c>
      <c r="M89" s="37">
        <f t="shared" si="20"/>
        <v>0</v>
      </c>
      <c r="N89" s="37">
        <f t="shared" si="20"/>
        <v>0</v>
      </c>
      <c r="O89" s="92">
        <f>SUM(C89:N89)</f>
        <v>50</v>
      </c>
      <c r="P89" s="31"/>
    </row>
    <row r="90" spans="1:17" ht="15" customHeight="1" x14ac:dyDescent="0.3">
      <c r="A90" s="31"/>
      <c r="B90" s="37" t="str">
        <f>+B19</f>
        <v>Moradia</v>
      </c>
      <c r="C90" s="37">
        <f t="shared" ref="C90:N90" si="21">+C19</f>
        <v>120</v>
      </c>
      <c r="D90" s="37">
        <f t="shared" si="21"/>
        <v>0</v>
      </c>
      <c r="E90" s="37">
        <f t="shared" si="21"/>
        <v>0</v>
      </c>
      <c r="F90" s="37">
        <f t="shared" si="21"/>
        <v>0</v>
      </c>
      <c r="G90" s="37">
        <f t="shared" si="21"/>
        <v>0</v>
      </c>
      <c r="H90" s="37">
        <f t="shared" si="21"/>
        <v>0</v>
      </c>
      <c r="I90" s="37">
        <f t="shared" si="21"/>
        <v>0</v>
      </c>
      <c r="J90" s="37">
        <f t="shared" si="21"/>
        <v>0</v>
      </c>
      <c r="K90" s="37">
        <f t="shared" si="21"/>
        <v>0</v>
      </c>
      <c r="L90" s="37">
        <f t="shared" si="21"/>
        <v>0</v>
      </c>
      <c r="M90" s="37">
        <f t="shared" si="21"/>
        <v>0</v>
      </c>
      <c r="N90" s="37">
        <f t="shared" si="21"/>
        <v>0</v>
      </c>
      <c r="O90" s="92">
        <f t="shared" ref="O90:O97" si="22">SUM(C90:N90)</f>
        <v>120</v>
      </c>
      <c r="P90" s="31"/>
    </row>
    <row r="91" spans="1:17" ht="15" customHeight="1" x14ac:dyDescent="0.3">
      <c r="A91" s="31"/>
      <c r="B91" s="37" t="str">
        <f>+B32</f>
        <v>Educação</v>
      </c>
      <c r="C91" s="37">
        <f t="shared" ref="C91:N91" si="23">+C32</f>
        <v>40</v>
      </c>
      <c r="D91" s="37">
        <f t="shared" si="23"/>
        <v>0</v>
      </c>
      <c r="E91" s="37">
        <f t="shared" si="23"/>
        <v>0</v>
      </c>
      <c r="F91" s="37">
        <f t="shared" si="23"/>
        <v>0</v>
      </c>
      <c r="G91" s="37">
        <f t="shared" si="23"/>
        <v>0</v>
      </c>
      <c r="H91" s="37">
        <f t="shared" si="23"/>
        <v>0</v>
      </c>
      <c r="I91" s="37">
        <f t="shared" si="23"/>
        <v>0</v>
      </c>
      <c r="J91" s="37">
        <f t="shared" si="23"/>
        <v>0</v>
      </c>
      <c r="K91" s="37">
        <f t="shared" si="23"/>
        <v>0</v>
      </c>
      <c r="L91" s="37">
        <f t="shared" si="23"/>
        <v>0</v>
      </c>
      <c r="M91" s="37">
        <f t="shared" si="23"/>
        <v>0</v>
      </c>
      <c r="N91" s="37">
        <f t="shared" si="23"/>
        <v>0</v>
      </c>
      <c r="O91" s="92">
        <f t="shared" si="22"/>
        <v>40</v>
      </c>
      <c r="P91" s="31"/>
    </row>
    <row r="92" spans="1:17" ht="15" customHeight="1" x14ac:dyDescent="0.3">
      <c r="A92" s="31"/>
      <c r="B92" s="37" t="str">
        <f>+B37</f>
        <v>Animal de Estimação</v>
      </c>
      <c r="C92" s="37">
        <f t="shared" ref="C92:N92" si="24">+C37</f>
        <v>40</v>
      </c>
      <c r="D92" s="37">
        <f t="shared" si="24"/>
        <v>0</v>
      </c>
      <c r="E92" s="37">
        <f t="shared" si="24"/>
        <v>0</v>
      </c>
      <c r="F92" s="37">
        <f t="shared" si="24"/>
        <v>0</v>
      </c>
      <c r="G92" s="37">
        <f t="shared" si="24"/>
        <v>0</v>
      </c>
      <c r="H92" s="37">
        <f t="shared" si="24"/>
        <v>0</v>
      </c>
      <c r="I92" s="37">
        <f t="shared" si="24"/>
        <v>0</v>
      </c>
      <c r="J92" s="37">
        <f t="shared" si="24"/>
        <v>0</v>
      </c>
      <c r="K92" s="37">
        <f t="shared" si="24"/>
        <v>0</v>
      </c>
      <c r="L92" s="37">
        <f t="shared" si="24"/>
        <v>0</v>
      </c>
      <c r="M92" s="37">
        <f t="shared" si="24"/>
        <v>0</v>
      </c>
      <c r="N92" s="37">
        <f t="shared" si="24"/>
        <v>0</v>
      </c>
      <c r="O92" s="92">
        <f t="shared" si="22"/>
        <v>40</v>
      </c>
      <c r="P92" s="31"/>
    </row>
    <row r="93" spans="1:17" ht="15" customHeight="1" x14ac:dyDescent="0.3">
      <c r="A93" s="31"/>
      <c r="B93" s="37" t="str">
        <f>+B42</f>
        <v>Saúde</v>
      </c>
      <c r="C93" s="37">
        <f t="shared" ref="C93:N93" si="25">+C42</f>
        <v>60</v>
      </c>
      <c r="D93" s="37">
        <f t="shared" si="25"/>
        <v>0</v>
      </c>
      <c r="E93" s="37">
        <f t="shared" si="25"/>
        <v>0</v>
      </c>
      <c r="F93" s="37">
        <f t="shared" si="25"/>
        <v>0</v>
      </c>
      <c r="G93" s="37">
        <f t="shared" si="25"/>
        <v>0</v>
      </c>
      <c r="H93" s="37">
        <f t="shared" si="25"/>
        <v>0</v>
      </c>
      <c r="I93" s="37">
        <f t="shared" si="25"/>
        <v>0</v>
      </c>
      <c r="J93" s="37">
        <f t="shared" si="25"/>
        <v>0</v>
      </c>
      <c r="K93" s="37">
        <f t="shared" si="25"/>
        <v>0</v>
      </c>
      <c r="L93" s="37">
        <f t="shared" si="25"/>
        <v>0</v>
      </c>
      <c r="M93" s="37">
        <f t="shared" si="25"/>
        <v>0</v>
      </c>
      <c r="N93" s="37">
        <f t="shared" si="25"/>
        <v>0</v>
      </c>
      <c r="O93" s="92">
        <f t="shared" si="22"/>
        <v>60</v>
      </c>
      <c r="P93" s="31"/>
    </row>
    <row r="94" spans="1:17" ht="15" customHeight="1" x14ac:dyDescent="0.3">
      <c r="A94" s="31"/>
      <c r="B94" s="37" t="str">
        <f>+B49</f>
        <v>Transporte</v>
      </c>
      <c r="C94" s="37">
        <f t="shared" ref="C94:N94" si="26">+C49</f>
        <v>90</v>
      </c>
      <c r="D94" s="37">
        <f t="shared" si="26"/>
        <v>0</v>
      </c>
      <c r="E94" s="37">
        <f t="shared" si="26"/>
        <v>0</v>
      </c>
      <c r="F94" s="37">
        <f t="shared" si="26"/>
        <v>0</v>
      </c>
      <c r="G94" s="37">
        <f t="shared" si="26"/>
        <v>0</v>
      </c>
      <c r="H94" s="37">
        <f t="shared" si="26"/>
        <v>0</v>
      </c>
      <c r="I94" s="37">
        <f t="shared" si="26"/>
        <v>0</v>
      </c>
      <c r="J94" s="37">
        <f t="shared" si="26"/>
        <v>0</v>
      </c>
      <c r="K94" s="37">
        <f t="shared" si="26"/>
        <v>0</v>
      </c>
      <c r="L94" s="37">
        <f t="shared" si="26"/>
        <v>0</v>
      </c>
      <c r="M94" s="37">
        <f t="shared" si="26"/>
        <v>0</v>
      </c>
      <c r="N94" s="37">
        <f t="shared" si="26"/>
        <v>0</v>
      </c>
      <c r="O94" s="92">
        <f t="shared" si="22"/>
        <v>90</v>
      </c>
      <c r="P94" s="31"/>
    </row>
    <row r="95" spans="1:17" ht="15" customHeight="1" x14ac:dyDescent="0.3">
      <c r="A95" s="31"/>
      <c r="B95" s="37" t="str">
        <f>+B59</f>
        <v>Pessoais</v>
      </c>
      <c r="C95" s="37">
        <f t="shared" ref="C95:N95" si="27">+C59</f>
        <v>40</v>
      </c>
      <c r="D95" s="37">
        <f t="shared" si="27"/>
        <v>0</v>
      </c>
      <c r="E95" s="37">
        <f t="shared" si="27"/>
        <v>0</v>
      </c>
      <c r="F95" s="37">
        <f t="shared" si="27"/>
        <v>0</v>
      </c>
      <c r="G95" s="37">
        <f t="shared" si="27"/>
        <v>0</v>
      </c>
      <c r="H95" s="37">
        <f t="shared" si="27"/>
        <v>0</v>
      </c>
      <c r="I95" s="37">
        <f t="shared" si="27"/>
        <v>0</v>
      </c>
      <c r="J95" s="37">
        <f t="shared" si="27"/>
        <v>0</v>
      </c>
      <c r="K95" s="37">
        <f t="shared" si="27"/>
        <v>0</v>
      </c>
      <c r="L95" s="37">
        <f t="shared" si="27"/>
        <v>0</v>
      </c>
      <c r="M95" s="37">
        <f t="shared" si="27"/>
        <v>0</v>
      </c>
      <c r="N95" s="37">
        <f t="shared" si="27"/>
        <v>0</v>
      </c>
      <c r="O95" s="92">
        <f t="shared" si="22"/>
        <v>40</v>
      </c>
      <c r="P95" s="31"/>
    </row>
    <row r="96" spans="1:17" ht="15" customHeight="1" x14ac:dyDescent="0.3">
      <c r="A96" s="31"/>
      <c r="B96" s="37" t="str">
        <f>+B64</f>
        <v>Lazer</v>
      </c>
      <c r="C96" s="37">
        <f t="shared" ref="C96:N96" si="28">+C64</f>
        <v>40</v>
      </c>
      <c r="D96" s="37">
        <f t="shared" si="28"/>
        <v>0</v>
      </c>
      <c r="E96" s="37">
        <f t="shared" si="28"/>
        <v>0</v>
      </c>
      <c r="F96" s="37">
        <f t="shared" si="28"/>
        <v>0</v>
      </c>
      <c r="G96" s="37">
        <f t="shared" si="28"/>
        <v>0</v>
      </c>
      <c r="H96" s="37">
        <f t="shared" si="28"/>
        <v>0</v>
      </c>
      <c r="I96" s="37">
        <f t="shared" si="28"/>
        <v>0</v>
      </c>
      <c r="J96" s="37">
        <f t="shared" si="28"/>
        <v>0</v>
      </c>
      <c r="K96" s="37">
        <f t="shared" si="28"/>
        <v>0</v>
      </c>
      <c r="L96" s="37">
        <f t="shared" si="28"/>
        <v>0</v>
      </c>
      <c r="M96" s="37">
        <f t="shared" si="28"/>
        <v>0</v>
      </c>
      <c r="N96" s="37">
        <f t="shared" si="28"/>
        <v>0</v>
      </c>
      <c r="O96" s="92">
        <f t="shared" si="22"/>
        <v>40</v>
      </c>
      <c r="P96" s="31"/>
    </row>
    <row r="97" spans="1:17" ht="15" customHeight="1" x14ac:dyDescent="0.3">
      <c r="A97" s="31"/>
      <c r="B97" s="79" t="str">
        <f>+B70</f>
        <v>Serviços Financeiros</v>
      </c>
      <c r="C97" s="79">
        <f t="shared" ref="C97:N97" si="29">+C70</f>
        <v>70</v>
      </c>
      <c r="D97" s="79">
        <f t="shared" si="29"/>
        <v>0</v>
      </c>
      <c r="E97" s="79">
        <f t="shared" si="29"/>
        <v>0</v>
      </c>
      <c r="F97" s="79">
        <f t="shared" si="29"/>
        <v>0</v>
      </c>
      <c r="G97" s="79">
        <f t="shared" si="29"/>
        <v>0</v>
      </c>
      <c r="H97" s="79">
        <f t="shared" si="29"/>
        <v>0</v>
      </c>
      <c r="I97" s="79">
        <f t="shared" si="29"/>
        <v>0</v>
      </c>
      <c r="J97" s="79">
        <f t="shared" si="29"/>
        <v>0</v>
      </c>
      <c r="K97" s="79">
        <f t="shared" si="29"/>
        <v>0</v>
      </c>
      <c r="L97" s="79">
        <f t="shared" si="29"/>
        <v>0</v>
      </c>
      <c r="M97" s="79">
        <f t="shared" si="29"/>
        <v>0</v>
      </c>
      <c r="N97" s="79">
        <f t="shared" si="29"/>
        <v>0</v>
      </c>
      <c r="O97" s="93">
        <f t="shared" si="22"/>
        <v>70</v>
      </c>
      <c r="P97" s="31"/>
    </row>
    <row r="98" spans="1:17" ht="15.6" x14ac:dyDescent="0.3">
      <c r="A98" s="30"/>
      <c r="B98" s="80" t="s">
        <v>234</v>
      </c>
      <c r="C98" s="81">
        <f>+C86-C88</f>
        <v>10</v>
      </c>
      <c r="D98" s="81">
        <f t="shared" ref="D98:N98" si="30">+D86-D88</f>
        <v>0</v>
      </c>
      <c r="E98" s="81">
        <f t="shared" si="30"/>
        <v>0</v>
      </c>
      <c r="F98" s="81">
        <f t="shared" si="30"/>
        <v>0</v>
      </c>
      <c r="G98" s="81">
        <f t="shared" si="30"/>
        <v>0</v>
      </c>
      <c r="H98" s="81">
        <f t="shared" si="30"/>
        <v>0</v>
      </c>
      <c r="I98" s="81">
        <f t="shared" si="30"/>
        <v>0</v>
      </c>
      <c r="J98" s="81">
        <f t="shared" si="30"/>
        <v>0</v>
      </c>
      <c r="K98" s="81">
        <f t="shared" si="30"/>
        <v>0</v>
      </c>
      <c r="L98" s="81">
        <f t="shared" si="30"/>
        <v>0</v>
      </c>
      <c r="M98" s="81">
        <f t="shared" si="30"/>
        <v>0</v>
      </c>
      <c r="N98" s="81">
        <f t="shared" si="30"/>
        <v>0</v>
      </c>
      <c r="O98" s="81">
        <f>+O86-O88</f>
        <v>10</v>
      </c>
      <c r="P98" s="30"/>
    </row>
    <row r="99" spans="1:17" ht="3" customHeight="1" x14ac:dyDescent="0.3">
      <c r="B99" s="89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</row>
    <row r="100" spans="1:17" s="27" customFormat="1" ht="15.6" x14ac:dyDescent="0.3">
      <c r="A100" s="25"/>
      <c r="B100" s="88" t="s">
        <v>241</v>
      </c>
      <c r="C100" s="44">
        <f>+C98</f>
        <v>10</v>
      </c>
      <c r="D100" s="44">
        <f>+D98+C100</f>
        <v>10</v>
      </c>
      <c r="E100" s="44">
        <f t="shared" ref="E100:N100" si="31">+E98+D100</f>
        <v>10</v>
      </c>
      <c r="F100" s="44">
        <f t="shared" si="31"/>
        <v>10</v>
      </c>
      <c r="G100" s="44">
        <f t="shared" si="31"/>
        <v>10</v>
      </c>
      <c r="H100" s="44">
        <f t="shared" si="31"/>
        <v>10</v>
      </c>
      <c r="I100" s="44">
        <f t="shared" si="31"/>
        <v>10</v>
      </c>
      <c r="J100" s="44">
        <f t="shared" si="31"/>
        <v>10</v>
      </c>
      <c r="K100" s="44">
        <f t="shared" si="31"/>
        <v>10</v>
      </c>
      <c r="L100" s="44">
        <f t="shared" si="31"/>
        <v>10</v>
      </c>
      <c r="M100" s="44">
        <f t="shared" si="31"/>
        <v>10</v>
      </c>
      <c r="N100" s="44">
        <f t="shared" si="31"/>
        <v>10</v>
      </c>
      <c r="O100" s="44"/>
      <c r="P100" s="25"/>
      <c r="Q100" s="26"/>
    </row>
    <row r="101" spans="1:17" s="27" customFormat="1" x14ac:dyDescent="0.3"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Q101" s="26"/>
    </row>
    <row r="102" spans="1:17" ht="32.25" customHeight="1" x14ac:dyDescent="0.3">
      <c r="B102" s="142" t="s">
        <v>269</v>
      </c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5"/>
      <c r="O102" s="86"/>
      <c r="P102" s="84"/>
    </row>
    <row r="103" spans="1:17" ht="21" customHeight="1" x14ac:dyDescent="0.35">
      <c r="A103" s="25"/>
      <c r="B103" s="42" t="s">
        <v>152</v>
      </c>
      <c r="C103" s="23" t="s">
        <v>51</v>
      </c>
      <c r="D103" s="23" t="s">
        <v>52</v>
      </c>
      <c r="E103" s="23" t="s">
        <v>53</v>
      </c>
      <c r="F103" s="23" t="s">
        <v>54</v>
      </c>
      <c r="G103" s="23" t="s">
        <v>55</v>
      </c>
      <c r="H103" s="23" t="s">
        <v>56</v>
      </c>
      <c r="I103" s="23" t="s">
        <v>57</v>
      </c>
      <c r="J103" s="23" t="s">
        <v>58</v>
      </c>
      <c r="K103" s="23" t="s">
        <v>59</v>
      </c>
      <c r="L103" s="23" t="s">
        <v>60</v>
      </c>
      <c r="M103" s="23" t="s">
        <v>61</v>
      </c>
      <c r="N103" s="23" t="s">
        <v>62</v>
      </c>
      <c r="O103" s="23" t="s">
        <v>268</v>
      </c>
      <c r="P103" s="25"/>
      <c r="Q103" s="19"/>
    </row>
    <row r="104" spans="1:17" ht="15" customHeight="1" x14ac:dyDescent="0.3">
      <c r="A104" s="25"/>
      <c r="B104" s="28" t="s">
        <v>84</v>
      </c>
      <c r="C104" s="41">
        <f t="shared" ref="C104:N104" si="32">+C10</f>
        <v>560</v>
      </c>
      <c r="D104" s="41">
        <f t="shared" si="32"/>
        <v>0</v>
      </c>
      <c r="E104" s="41">
        <f t="shared" si="32"/>
        <v>0</v>
      </c>
      <c r="F104" s="41">
        <f t="shared" si="32"/>
        <v>0</v>
      </c>
      <c r="G104" s="41">
        <f t="shared" si="32"/>
        <v>0</v>
      </c>
      <c r="H104" s="41">
        <f t="shared" si="32"/>
        <v>0</v>
      </c>
      <c r="I104" s="41">
        <f t="shared" si="32"/>
        <v>0</v>
      </c>
      <c r="J104" s="41">
        <f t="shared" si="32"/>
        <v>0</v>
      </c>
      <c r="K104" s="41">
        <f t="shared" si="32"/>
        <v>0</v>
      </c>
      <c r="L104" s="41">
        <f t="shared" si="32"/>
        <v>0</v>
      </c>
      <c r="M104" s="41">
        <f t="shared" si="32"/>
        <v>0</v>
      </c>
      <c r="N104" s="41">
        <f t="shared" si="32"/>
        <v>0</v>
      </c>
      <c r="O104" s="38">
        <f t="shared" ref="O104:O109" si="33">SUM(C104:N104)</f>
        <v>560</v>
      </c>
      <c r="P104" s="25"/>
      <c r="Q104" s="19"/>
    </row>
    <row r="105" spans="1:17" ht="15" customHeight="1" x14ac:dyDescent="0.3">
      <c r="A105" s="25"/>
      <c r="B105" s="28" t="s">
        <v>161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38">
        <f t="shared" si="33"/>
        <v>0</v>
      </c>
      <c r="P105" s="25"/>
      <c r="Q105" s="19"/>
    </row>
    <row r="106" spans="1:17" ht="15" customHeight="1" x14ac:dyDescent="0.3">
      <c r="A106" s="25"/>
      <c r="B106" s="28" t="s">
        <v>157</v>
      </c>
      <c r="C106" s="41">
        <f t="shared" ref="C106:N106" si="34">+C78</f>
        <v>550</v>
      </c>
      <c r="D106" s="41">
        <f t="shared" si="34"/>
        <v>0</v>
      </c>
      <c r="E106" s="41">
        <f t="shared" si="34"/>
        <v>0</v>
      </c>
      <c r="F106" s="41">
        <f t="shared" si="34"/>
        <v>0</v>
      </c>
      <c r="G106" s="41">
        <f t="shared" si="34"/>
        <v>0</v>
      </c>
      <c r="H106" s="41">
        <f t="shared" si="34"/>
        <v>0</v>
      </c>
      <c r="I106" s="41">
        <f t="shared" si="34"/>
        <v>0</v>
      </c>
      <c r="J106" s="41">
        <f t="shared" si="34"/>
        <v>0</v>
      </c>
      <c r="K106" s="41">
        <f t="shared" si="34"/>
        <v>0</v>
      </c>
      <c r="L106" s="41">
        <f t="shared" si="34"/>
        <v>0</v>
      </c>
      <c r="M106" s="41">
        <f t="shared" si="34"/>
        <v>0</v>
      </c>
      <c r="N106" s="41">
        <f t="shared" si="34"/>
        <v>0</v>
      </c>
      <c r="O106" s="38">
        <f t="shared" si="33"/>
        <v>550</v>
      </c>
      <c r="P106" s="25"/>
      <c r="Q106" s="19"/>
    </row>
    <row r="107" spans="1:17" ht="15" customHeight="1" x14ac:dyDescent="0.3">
      <c r="A107" s="25"/>
      <c r="B107" s="28" t="s">
        <v>158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38">
        <f t="shared" si="33"/>
        <v>0</v>
      </c>
      <c r="P107" s="25"/>
      <c r="Q107" s="19"/>
    </row>
    <row r="108" spans="1:17" x14ac:dyDescent="0.3">
      <c r="A108" s="25"/>
      <c r="B108" s="28" t="s">
        <v>162</v>
      </c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38">
        <f t="shared" si="33"/>
        <v>0</v>
      </c>
      <c r="P108" s="25"/>
    </row>
    <row r="109" spans="1:17" ht="15" customHeight="1" x14ac:dyDescent="0.3">
      <c r="A109" s="25"/>
      <c r="B109" s="28" t="s">
        <v>159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38">
        <f t="shared" si="33"/>
        <v>0</v>
      </c>
      <c r="P109" s="25"/>
      <c r="Q109" s="19"/>
    </row>
    <row r="110" spans="1:17" s="27" customFormat="1" ht="18.75" customHeight="1" x14ac:dyDescent="0.35">
      <c r="A110" s="25"/>
      <c r="B110" s="42" t="s">
        <v>156</v>
      </c>
      <c r="C110" s="44">
        <f>+C104+C105-C106-C107-C108-C109</f>
        <v>10</v>
      </c>
      <c r="D110" s="44">
        <f>+D104+D105-D106-D107-D108-D109+C110</f>
        <v>10</v>
      </c>
      <c r="E110" s="44">
        <f t="shared" ref="E110:N110" si="35">+E104+E105-E106-E107-E108-E109+D110</f>
        <v>10</v>
      </c>
      <c r="F110" s="44">
        <f t="shared" si="35"/>
        <v>10</v>
      </c>
      <c r="G110" s="44">
        <f t="shared" si="35"/>
        <v>10</v>
      </c>
      <c r="H110" s="44">
        <f t="shared" si="35"/>
        <v>10</v>
      </c>
      <c r="I110" s="44">
        <f t="shared" si="35"/>
        <v>10</v>
      </c>
      <c r="J110" s="44">
        <f t="shared" si="35"/>
        <v>10</v>
      </c>
      <c r="K110" s="44">
        <f t="shared" si="35"/>
        <v>10</v>
      </c>
      <c r="L110" s="44">
        <f t="shared" si="35"/>
        <v>10</v>
      </c>
      <c r="M110" s="44">
        <f t="shared" si="35"/>
        <v>10</v>
      </c>
      <c r="N110" s="44">
        <f t="shared" si="35"/>
        <v>10</v>
      </c>
      <c r="O110" s="44">
        <f>+O104+O105-O106-O107-O108-O109</f>
        <v>10</v>
      </c>
      <c r="P110" s="25"/>
      <c r="Q110" s="26"/>
    </row>
  </sheetData>
  <sheetProtection selectLockedCells="1" selectUnlockedCells="1"/>
  <mergeCells count="2">
    <mergeCell ref="A1:B1"/>
    <mergeCell ref="C1:P1"/>
  </mergeCells>
  <phoneticPr fontId="18" type="noConversion"/>
  <pageMargins left="0.35" right="0.30972222222222223" top="0.4597222222222222" bottom="0.5" header="0.51180555555555551" footer="0.51180555555555551"/>
  <pageSetup paperSize="9" scale="45" firstPageNumber="0" orientation="landscape" horizontalDpi="300" verticalDpi="300" r:id="rId1"/>
  <headerFooter alignWithMargins="0"/>
  <ignoredErrors>
    <ignoredError sqref="O49 O59:O65" formula="1"/>
    <ignoredError sqref="O20:O28 O33:O36 O38:O41 O43 O68" emptyCellReference="1"/>
    <ignoredError sqref="O32 O37 O42" formula="1" emptyCellReferenc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7"/>
  <dimension ref="A1:J193"/>
  <sheetViews>
    <sheetView showGridLines="0" workbookViewId="0">
      <selection activeCell="H26" sqref="H26"/>
    </sheetView>
  </sheetViews>
  <sheetFormatPr defaultRowHeight="14.4" x14ac:dyDescent="0.3"/>
  <cols>
    <col min="1" max="1" width="1.44140625" customWidth="1"/>
    <col min="2" max="2" width="50.109375" customWidth="1"/>
    <col min="3" max="4" width="11.33203125" customWidth="1"/>
    <col min="5" max="5" width="13.5546875" customWidth="1"/>
    <col min="6" max="6" width="1.44140625" customWidth="1"/>
    <col min="7" max="7" width="3.44140625" customWidth="1"/>
    <col min="8" max="8" width="17.6640625" customWidth="1"/>
    <col min="9" max="9" width="18.5546875" customWidth="1"/>
  </cols>
  <sheetData>
    <row r="1" spans="1:10" ht="61.2" x14ac:dyDescent="1.1000000000000001">
      <c r="A1" s="108"/>
      <c r="B1" s="285" t="s">
        <v>0</v>
      </c>
      <c r="C1" s="285"/>
      <c r="D1" s="285"/>
      <c r="E1" s="285"/>
      <c r="F1" s="109"/>
      <c r="G1" s="82"/>
      <c r="H1" s="82"/>
    </row>
    <row r="2" spans="1:10" s="135" customFormat="1" ht="25.8" x14ac:dyDescent="0.5">
      <c r="A2" s="131"/>
      <c r="B2" s="132"/>
      <c r="C2" s="132">
        <f>+Instruções!I19</f>
        <v>2026</v>
      </c>
      <c r="D2" s="132"/>
      <c r="E2" s="132"/>
      <c r="F2" s="133"/>
      <c r="G2" s="134"/>
      <c r="H2" s="134"/>
    </row>
    <row r="3" spans="1:10" s="135" customFormat="1" ht="25.8" x14ac:dyDescent="0.5">
      <c r="B3" s="126" t="s">
        <v>361</v>
      </c>
      <c r="C3" s="136"/>
      <c r="D3" s="137" t="s">
        <v>263</v>
      </c>
      <c r="E3" s="229" t="s">
        <v>51</v>
      </c>
      <c r="F3" s="110"/>
    </row>
    <row r="4" spans="1:10" ht="15.6" x14ac:dyDescent="0.3">
      <c r="A4" s="24"/>
      <c r="B4" s="83" t="s">
        <v>401</v>
      </c>
      <c r="C4" s="23" t="s">
        <v>65</v>
      </c>
      <c r="D4" s="23" t="s">
        <v>64</v>
      </c>
      <c r="E4" s="23" t="s">
        <v>233</v>
      </c>
      <c r="F4" s="24"/>
      <c r="H4" s="284" t="s">
        <v>381</v>
      </c>
    </row>
    <row r="5" spans="1:10" x14ac:dyDescent="0.3">
      <c r="A5" s="30"/>
      <c r="B5" s="45" t="str">
        <f>+Codigo!$C$4</f>
        <v>Receita</v>
      </c>
      <c r="C5" s="128">
        <f>+Real!C86</f>
        <v>1000</v>
      </c>
      <c r="D5" s="128">
        <f>+Previsão!C86</f>
        <v>560</v>
      </c>
      <c r="E5" s="249">
        <f>+C5-D5</f>
        <v>440</v>
      </c>
      <c r="F5" s="30"/>
      <c r="H5" s="284"/>
      <c r="J5" s="232"/>
    </row>
    <row r="6" spans="1:10" x14ac:dyDescent="0.3">
      <c r="A6" s="30"/>
      <c r="B6" s="46"/>
      <c r="C6" s="129"/>
      <c r="D6" s="129"/>
      <c r="E6" s="250"/>
      <c r="F6" s="129"/>
      <c r="H6" s="248" t="s">
        <v>412</v>
      </c>
    </row>
    <row r="7" spans="1:10" x14ac:dyDescent="0.3">
      <c r="A7" s="30"/>
      <c r="B7" s="91" t="s">
        <v>235</v>
      </c>
      <c r="C7" s="130">
        <f>SUM(C8:C16)</f>
        <v>1650</v>
      </c>
      <c r="D7" s="130">
        <f>SUM(D8:D16)</f>
        <v>550</v>
      </c>
      <c r="E7" s="251">
        <f>+D7-C7</f>
        <v>-1100</v>
      </c>
      <c r="F7" s="30"/>
      <c r="H7" s="234">
        <f>+C7/$C$5</f>
        <v>1.65</v>
      </c>
    </row>
    <row r="8" spans="1:10" x14ac:dyDescent="0.3">
      <c r="A8" s="30"/>
      <c r="B8" s="37" t="str">
        <f>+Codigo!$C$10</f>
        <v>Alimentação</v>
      </c>
      <c r="C8" s="127">
        <f>+Real!C89</f>
        <v>1150</v>
      </c>
      <c r="D8" s="128">
        <f>+Previsão!C89</f>
        <v>50</v>
      </c>
      <c r="E8" s="249">
        <f>+D8-C8</f>
        <v>-1100</v>
      </c>
      <c r="F8" s="30"/>
      <c r="H8" s="233">
        <f>+C8/$C$5</f>
        <v>1.1499999999999999</v>
      </c>
    </row>
    <row r="9" spans="1:10" x14ac:dyDescent="0.3">
      <c r="A9" s="30"/>
      <c r="B9" s="37" t="str">
        <f>+Codigo!$C$15</f>
        <v>Moradia</v>
      </c>
      <c r="C9" s="128">
        <f>+Real!C90</f>
        <v>0</v>
      </c>
      <c r="D9" s="128">
        <f>+Previsão!C90</f>
        <v>120</v>
      </c>
      <c r="E9" s="249">
        <f t="shared" ref="E9:E16" si="0">+D9-C9</f>
        <v>120</v>
      </c>
      <c r="F9" s="30"/>
      <c r="H9" s="233">
        <f t="shared" ref="H9:H16" si="1">+C9/$C$5</f>
        <v>0</v>
      </c>
    </row>
    <row r="10" spans="1:10" x14ac:dyDescent="0.3">
      <c r="A10" s="30"/>
      <c r="B10" s="37" t="str">
        <f>+Codigo!$C$27</f>
        <v>Educação</v>
      </c>
      <c r="C10" s="128">
        <f>+Real!C91</f>
        <v>0</v>
      </c>
      <c r="D10" s="128">
        <f>+Previsão!C91</f>
        <v>40</v>
      </c>
      <c r="E10" s="249">
        <f t="shared" si="0"/>
        <v>40</v>
      </c>
      <c r="F10" s="30"/>
      <c r="H10" s="233">
        <f t="shared" si="1"/>
        <v>0</v>
      </c>
    </row>
    <row r="11" spans="1:10" x14ac:dyDescent="0.3">
      <c r="A11" s="30"/>
      <c r="B11" s="37" t="str">
        <f>+Codigo!$C$31</f>
        <v>Animal de Estimação</v>
      </c>
      <c r="C11" s="128">
        <f>+Real!C92</f>
        <v>0</v>
      </c>
      <c r="D11" s="128">
        <f>+Previsão!C92</f>
        <v>40</v>
      </c>
      <c r="E11" s="249">
        <f t="shared" si="0"/>
        <v>40</v>
      </c>
      <c r="F11" s="30"/>
      <c r="H11" s="233">
        <f t="shared" si="1"/>
        <v>0</v>
      </c>
    </row>
    <row r="12" spans="1:10" x14ac:dyDescent="0.3">
      <c r="A12" s="30"/>
      <c r="B12" s="37" t="str">
        <f>+Codigo!$C$35</f>
        <v>Saúde</v>
      </c>
      <c r="C12" s="128">
        <f>+Real!C93</f>
        <v>0</v>
      </c>
      <c r="D12" s="128">
        <f>+Previsão!C93</f>
        <v>60</v>
      </c>
      <c r="E12" s="249">
        <f t="shared" si="0"/>
        <v>60</v>
      </c>
      <c r="F12" s="30"/>
      <c r="H12" s="233">
        <f t="shared" si="1"/>
        <v>0</v>
      </c>
    </row>
    <row r="13" spans="1:10" x14ac:dyDescent="0.3">
      <c r="A13" s="30"/>
      <c r="B13" s="37" t="str">
        <f>+Codigo!$C$41</f>
        <v>Transporte</v>
      </c>
      <c r="C13" s="128">
        <f>+Real!C94</f>
        <v>0</v>
      </c>
      <c r="D13" s="128">
        <f>+Previsão!C94</f>
        <v>90</v>
      </c>
      <c r="E13" s="249">
        <f t="shared" si="0"/>
        <v>90</v>
      </c>
      <c r="F13" s="30"/>
      <c r="H13" s="233">
        <f t="shared" si="1"/>
        <v>0</v>
      </c>
    </row>
    <row r="14" spans="1:10" x14ac:dyDescent="0.3">
      <c r="A14" s="30"/>
      <c r="B14" s="37" t="str">
        <f>+Codigo!$C$50</f>
        <v>Pessoais</v>
      </c>
      <c r="C14" s="128">
        <f>+Real!C95</f>
        <v>0</v>
      </c>
      <c r="D14" s="128">
        <f>+Previsão!C95</f>
        <v>40</v>
      </c>
      <c r="E14" s="249">
        <f t="shared" si="0"/>
        <v>40</v>
      </c>
      <c r="F14" s="30"/>
      <c r="H14" s="233">
        <f t="shared" si="1"/>
        <v>0</v>
      </c>
    </row>
    <row r="15" spans="1:10" x14ac:dyDescent="0.3">
      <c r="A15" s="30"/>
      <c r="B15" s="37" t="str">
        <f>+Codigo!$C$54</f>
        <v>Lazer</v>
      </c>
      <c r="C15" s="128">
        <f>+Real!C96</f>
        <v>0</v>
      </c>
      <c r="D15" s="128">
        <f>+Previsão!C96</f>
        <v>40</v>
      </c>
      <c r="E15" s="249">
        <f t="shared" si="0"/>
        <v>40</v>
      </c>
      <c r="F15" s="30"/>
      <c r="H15" s="233">
        <f t="shared" si="1"/>
        <v>0</v>
      </c>
    </row>
    <row r="16" spans="1:10" x14ac:dyDescent="0.3">
      <c r="A16" s="30"/>
      <c r="B16" s="79" t="str">
        <f>+Codigo!$C$59</f>
        <v>Serviços Financeiros</v>
      </c>
      <c r="C16" s="128">
        <f>+Real!C97</f>
        <v>500</v>
      </c>
      <c r="D16" s="128">
        <f>+Previsão!C97</f>
        <v>70</v>
      </c>
      <c r="E16" s="249">
        <f t="shared" si="0"/>
        <v>-430</v>
      </c>
      <c r="F16" s="30"/>
      <c r="H16" s="233">
        <f t="shared" si="1"/>
        <v>0.5</v>
      </c>
    </row>
    <row r="17" spans="1:8" ht="15.6" x14ac:dyDescent="0.3">
      <c r="A17" s="30"/>
      <c r="B17" s="80" t="s">
        <v>234</v>
      </c>
      <c r="C17" s="81">
        <f>+C5-C7</f>
        <v>-650</v>
      </c>
      <c r="D17" s="81">
        <f>+D5-D7</f>
        <v>10</v>
      </c>
      <c r="E17" s="252">
        <f>+C17-D17</f>
        <v>-660</v>
      </c>
      <c r="F17" s="30"/>
      <c r="H17" s="81"/>
    </row>
    <row r="19" spans="1:8" ht="25.8" x14ac:dyDescent="0.5">
      <c r="A19" s="135"/>
      <c r="B19" s="126" t="s">
        <v>264</v>
      </c>
      <c r="C19" s="136"/>
      <c r="D19" s="137" t="s">
        <v>63</v>
      </c>
      <c r="E19" s="229" t="s">
        <v>52</v>
      </c>
      <c r="F19" s="110"/>
    </row>
    <row r="20" spans="1:8" ht="15.6" x14ac:dyDescent="0.3">
      <c r="A20" s="24"/>
      <c r="B20" s="83" t="s">
        <v>236</v>
      </c>
      <c r="C20" s="23" t="s">
        <v>65</v>
      </c>
      <c r="D20" s="23" t="s">
        <v>64</v>
      </c>
      <c r="E20" s="23" t="s">
        <v>233</v>
      </c>
      <c r="F20" s="24"/>
      <c r="H20" s="284" t="s">
        <v>362</v>
      </c>
    </row>
    <row r="21" spans="1:8" x14ac:dyDescent="0.3">
      <c r="A21" s="30"/>
      <c r="B21" s="45" t="str">
        <f>+Codigo!$C$4</f>
        <v>Receita</v>
      </c>
      <c r="C21" s="127">
        <f>+Real!D86</f>
        <v>0</v>
      </c>
      <c r="D21" s="127">
        <f>+Previsão!D86</f>
        <v>0</v>
      </c>
      <c r="E21" s="249">
        <f>+C21-D21</f>
        <v>0</v>
      </c>
      <c r="F21" s="30"/>
      <c r="H21" s="284"/>
    </row>
    <row r="22" spans="1:8" x14ac:dyDescent="0.3">
      <c r="A22" s="30"/>
      <c r="B22" s="46"/>
      <c r="C22" s="129"/>
      <c r="D22" s="129"/>
      <c r="E22" s="250"/>
      <c r="F22" s="129"/>
      <c r="H22" s="248" t="s">
        <v>412</v>
      </c>
    </row>
    <row r="23" spans="1:8" x14ac:dyDescent="0.3">
      <c r="A23" s="30"/>
      <c r="B23" s="91" t="s">
        <v>235</v>
      </c>
      <c r="C23" s="130">
        <f>SUM(C24:C32)</f>
        <v>0</v>
      </c>
      <c r="D23" s="130">
        <f>SUM(D24:D32)</f>
        <v>0</v>
      </c>
      <c r="E23" s="251">
        <f>+D23-C23</f>
        <v>0</v>
      </c>
      <c r="F23" s="30"/>
      <c r="H23" s="247" t="e">
        <f>+C23/$C$21</f>
        <v>#DIV/0!</v>
      </c>
    </row>
    <row r="24" spans="1:8" x14ac:dyDescent="0.3">
      <c r="A24" s="30"/>
      <c r="B24" s="37" t="str">
        <f>+Codigo!$C$10</f>
        <v>Alimentação</v>
      </c>
      <c r="C24" s="128">
        <f>+Real!D89</f>
        <v>0</v>
      </c>
      <c r="D24" s="128">
        <f>+Previsão!D89</f>
        <v>0</v>
      </c>
      <c r="E24" s="249">
        <f>+D24-C24</f>
        <v>0</v>
      </c>
      <c r="F24" s="30"/>
      <c r="H24" s="233" t="e">
        <f>+C24/$C$21</f>
        <v>#DIV/0!</v>
      </c>
    </row>
    <row r="25" spans="1:8" x14ac:dyDescent="0.3">
      <c r="A25" s="30"/>
      <c r="B25" s="37" t="str">
        <f>+Codigo!$C$15</f>
        <v>Moradia</v>
      </c>
      <c r="C25" s="128">
        <f>+Real!D90</f>
        <v>0</v>
      </c>
      <c r="D25" s="128">
        <f>+Previsão!D90</f>
        <v>0</v>
      </c>
      <c r="E25" s="249">
        <f t="shared" ref="E25:E32" si="2">+D25-C25</f>
        <v>0</v>
      </c>
      <c r="F25" s="30"/>
      <c r="H25" s="233" t="e">
        <f t="shared" ref="H25:H32" si="3">+C25/$C$21</f>
        <v>#DIV/0!</v>
      </c>
    </row>
    <row r="26" spans="1:8" x14ac:dyDescent="0.3">
      <c r="A26" s="30"/>
      <c r="B26" s="37" t="str">
        <f>+Codigo!$C$27</f>
        <v>Educação</v>
      </c>
      <c r="C26" s="128">
        <f>+Real!D91</f>
        <v>0</v>
      </c>
      <c r="D26" s="128">
        <f>+Previsão!D91</f>
        <v>0</v>
      </c>
      <c r="E26" s="249">
        <f t="shared" si="2"/>
        <v>0</v>
      </c>
      <c r="F26" s="30"/>
      <c r="H26" s="233" t="e">
        <f t="shared" si="3"/>
        <v>#DIV/0!</v>
      </c>
    </row>
    <row r="27" spans="1:8" x14ac:dyDescent="0.3">
      <c r="A27" s="30"/>
      <c r="B27" s="37" t="str">
        <f>+Codigo!$C$31</f>
        <v>Animal de Estimação</v>
      </c>
      <c r="C27" s="128">
        <f>+Real!D92</f>
        <v>0</v>
      </c>
      <c r="D27" s="128">
        <f>+Previsão!D92</f>
        <v>0</v>
      </c>
      <c r="E27" s="249">
        <f t="shared" si="2"/>
        <v>0</v>
      </c>
      <c r="F27" s="30"/>
      <c r="H27" s="233" t="e">
        <f t="shared" si="3"/>
        <v>#DIV/0!</v>
      </c>
    </row>
    <row r="28" spans="1:8" x14ac:dyDescent="0.3">
      <c r="A28" s="30"/>
      <c r="B28" s="37" t="str">
        <f>+Codigo!$C$35</f>
        <v>Saúde</v>
      </c>
      <c r="C28" s="128">
        <f>+Real!D93</f>
        <v>0</v>
      </c>
      <c r="D28" s="128">
        <f>+Previsão!D93</f>
        <v>0</v>
      </c>
      <c r="E28" s="249">
        <f t="shared" si="2"/>
        <v>0</v>
      </c>
      <c r="F28" s="30"/>
      <c r="H28" s="233" t="e">
        <f t="shared" si="3"/>
        <v>#DIV/0!</v>
      </c>
    </row>
    <row r="29" spans="1:8" x14ac:dyDescent="0.3">
      <c r="A29" s="30"/>
      <c r="B29" s="37" t="str">
        <f>+Codigo!$C$41</f>
        <v>Transporte</v>
      </c>
      <c r="C29" s="128">
        <f>+Real!D94</f>
        <v>0</v>
      </c>
      <c r="D29" s="128">
        <f>+Previsão!D94</f>
        <v>0</v>
      </c>
      <c r="E29" s="249">
        <f t="shared" si="2"/>
        <v>0</v>
      </c>
      <c r="F29" s="30"/>
      <c r="H29" s="233" t="e">
        <f t="shared" si="3"/>
        <v>#DIV/0!</v>
      </c>
    </row>
    <row r="30" spans="1:8" x14ac:dyDescent="0.3">
      <c r="A30" s="30"/>
      <c r="B30" s="37" t="str">
        <f>+Codigo!$C$50</f>
        <v>Pessoais</v>
      </c>
      <c r="C30" s="128">
        <f>+Real!D95</f>
        <v>0</v>
      </c>
      <c r="D30" s="128">
        <f>+Previsão!D95</f>
        <v>0</v>
      </c>
      <c r="E30" s="249">
        <f t="shared" si="2"/>
        <v>0</v>
      </c>
      <c r="F30" s="30"/>
      <c r="H30" s="233" t="e">
        <f t="shared" si="3"/>
        <v>#DIV/0!</v>
      </c>
    </row>
    <row r="31" spans="1:8" x14ac:dyDescent="0.3">
      <c r="A31" s="30"/>
      <c r="B31" s="37" t="str">
        <f>+Codigo!$C$54</f>
        <v>Lazer</v>
      </c>
      <c r="C31" s="128">
        <f>+Real!D96</f>
        <v>0</v>
      </c>
      <c r="D31" s="128">
        <f>+Previsão!D96</f>
        <v>0</v>
      </c>
      <c r="E31" s="249">
        <f t="shared" si="2"/>
        <v>0</v>
      </c>
      <c r="F31" s="30"/>
      <c r="H31" s="233" t="e">
        <f t="shared" si="3"/>
        <v>#DIV/0!</v>
      </c>
    </row>
    <row r="32" spans="1:8" x14ac:dyDescent="0.3">
      <c r="A32" s="30"/>
      <c r="B32" s="79" t="str">
        <f>+Codigo!$C$59</f>
        <v>Serviços Financeiros</v>
      </c>
      <c r="C32" s="128">
        <f>+Real!D97</f>
        <v>0</v>
      </c>
      <c r="D32" s="128">
        <f>+Previsão!D97</f>
        <v>0</v>
      </c>
      <c r="E32" s="249">
        <f t="shared" si="2"/>
        <v>0</v>
      </c>
      <c r="F32" s="30"/>
      <c r="H32" s="233" t="e">
        <f t="shared" si="3"/>
        <v>#DIV/0!</v>
      </c>
    </row>
    <row r="33" spans="1:8" ht="15.6" x14ac:dyDescent="0.3">
      <c r="A33" s="30"/>
      <c r="B33" s="80" t="s">
        <v>234</v>
      </c>
      <c r="C33" s="81">
        <f>+C21-C23</f>
        <v>0</v>
      </c>
      <c r="D33" s="81">
        <f>+D21-D23</f>
        <v>0</v>
      </c>
      <c r="E33" s="252">
        <f>+C33-D33</f>
        <v>0</v>
      </c>
      <c r="F33" s="30"/>
      <c r="H33" s="81"/>
    </row>
    <row r="35" spans="1:8" ht="25.8" x14ac:dyDescent="0.5">
      <c r="A35" s="135"/>
      <c r="B35" s="126" t="s">
        <v>264</v>
      </c>
      <c r="C35" s="136"/>
      <c r="D35" s="137" t="s">
        <v>63</v>
      </c>
      <c r="E35" s="229" t="s">
        <v>53</v>
      </c>
      <c r="F35" s="110"/>
    </row>
    <row r="36" spans="1:8" ht="15.6" x14ac:dyDescent="0.3">
      <c r="A36" s="24"/>
      <c r="B36" s="83" t="s">
        <v>236</v>
      </c>
      <c r="C36" s="23" t="s">
        <v>65</v>
      </c>
      <c r="D36" s="23" t="s">
        <v>64</v>
      </c>
      <c r="E36" s="23" t="s">
        <v>233</v>
      </c>
      <c r="F36" s="24"/>
      <c r="H36" s="284" t="s">
        <v>362</v>
      </c>
    </row>
    <row r="37" spans="1:8" x14ac:dyDescent="0.3">
      <c r="A37" s="30"/>
      <c r="B37" s="45" t="str">
        <f>+Codigo!$C$4</f>
        <v>Receita</v>
      </c>
      <c r="C37" s="127">
        <f>+Real!E86</f>
        <v>0</v>
      </c>
      <c r="D37" s="127">
        <f>+Previsão!E86</f>
        <v>0</v>
      </c>
      <c r="E37" s="249">
        <f>+C37-D37</f>
        <v>0</v>
      </c>
      <c r="F37" s="30"/>
      <c r="H37" s="284"/>
    </row>
    <row r="38" spans="1:8" x14ac:dyDescent="0.3">
      <c r="A38" s="30"/>
      <c r="B38" s="46"/>
      <c r="C38" s="129"/>
      <c r="D38" s="129"/>
      <c r="E38" s="250"/>
      <c r="F38" s="129"/>
      <c r="H38" s="248" t="s">
        <v>412</v>
      </c>
    </row>
    <row r="39" spans="1:8" x14ac:dyDescent="0.3">
      <c r="A39" s="30"/>
      <c r="B39" s="91" t="s">
        <v>235</v>
      </c>
      <c r="C39" s="230">
        <f>SUM(C40:C48)</f>
        <v>0</v>
      </c>
      <c r="D39" s="230">
        <f>SUM(D40:D48)</f>
        <v>0</v>
      </c>
      <c r="E39" s="251">
        <f>+D39-C39</f>
        <v>0</v>
      </c>
      <c r="F39" s="30"/>
      <c r="H39" s="247" t="e">
        <f>+C39/$C$37</f>
        <v>#DIV/0!</v>
      </c>
    </row>
    <row r="40" spans="1:8" x14ac:dyDescent="0.3">
      <c r="A40" s="30"/>
      <c r="B40" s="37" t="str">
        <f>+Codigo!$C$10</f>
        <v>Alimentação</v>
      </c>
      <c r="C40" s="231">
        <f>+Real!E89</f>
        <v>0</v>
      </c>
      <c r="D40" s="231">
        <f>+Previsão!E89</f>
        <v>0</v>
      </c>
      <c r="E40" s="249">
        <f>+D40-C40</f>
        <v>0</v>
      </c>
      <c r="F40" s="30"/>
      <c r="H40" s="233" t="e">
        <f>+C40/$C$37</f>
        <v>#DIV/0!</v>
      </c>
    </row>
    <row r="41" spans="1:8" x14ac:dyDescent="0.3">
      <c r="A41" s="30"/>
      <c r="B41" s="37" t="str">
        <f>+Codigo!$C$15</f>
        <v>Moradia</v>
      </c>
      <c r="C41" s="231">
        <f>+Real!E90</f>
        <v>0</v>
      </c>
      <c r="D41" s="231">
        <f>+Previsão!E90</f>
        <v>0</v>
      </c>
      <c r="E41" s="249">
        <f t="shared" ref="E41:E48" si="4">+D41-C41</f>
        <v>0</v>
      </c>
      <c r="F41" s="30"/>
      <c r="H41" s="233" t="e">
        <f t="shared" ref="H41:H48" si="5">+C41/$C$37</f>
        <v>#DIV/0!</v>
      </c>
    </row>
    <row r="42" spans="1:8" x14ac:dyDescent="0.3">
      <c r="A42" s="30"/>
      <c r="B42" s="37" t="str">
        <f>+Codigo!$C$27</f>
        <v>Educação</v>
      </c>
      <c r="C42" s="231">
        <f>+Real!E91</f>
        <v>0</v>
      </c>
      <c r="D42" s="231">
        <f>+Previsão!E91</f>
        <v>0</v>
      </c>
      <c r="E42" s="249">
        <f t="shared" si="4"/>
        <v>0</v>
      </c>
      <c r="F42" s="30"/>
      <c r="H42" s="233" t="e">
        <f t="shared" si="5"/>
        <v>#DIV/0!</v>
      </c>
    </row>
    <row r="43" spans="1:8" x14ac:dyDescent="0.3">
      <c r="A43" s="30"/>
      <c r="B43" s="37" t="str">
        <f>+Codigo!$C$31</f>
        <v>Animal de Estimação</v>
      </c>
      <c r="C43" s="231">
        <f>+Real!E92</f>
        <v>0</v>
      </c>
      <c r="D43" s="231">
        <f>+Previsão!E92</f>
        <v>0</v>
      </c>
      <c r="E43" s="249">
        <f t="shared" si="4"/>
        <v>0</v>
      </c>
      <c r="F43" s="30"/>
      <c r="H43" s="233" t="e">
        <f t="shared" si="5"/>
        <v>#DIV/0!</v>
      </c>
    </row>
    <row r="44" spans="1:8" x14ac:dyDescent="0.3">
      <c r="A44" s="30"/>
      <c r="B44" s="37" t="str">
        <f>+Codigo!$C$35</f>
        <v>Saúde</v>
      </c>
      <c r="C44" s="231">
        <f>+Real!E93</f>
        <v>0</v>
      </c>
      <c r="D44" s="231">
        <f>+Previsão!E93</f>
        <v>0</v>
      </c>
      <c r="E44" s="249">
        <f t="shared" si="4"/>
        <v>0</v>
      </c>
      <c r="F44" s="30"/>
      <c r="H44" s="233" t="e">
        <f t="shared" si="5"/>
        <v>#DIV/0!</v>
      </c>
    </row>
    <row r="45" spans="1:8" x14ac:dyDescent="0.3">
      <c r="A45" s="30"/>
      <c r="B45" s="37" t="str">
        <f>+Codigo!$C$41</f>
        <v>Transporte</v>
      </c>
      <c r="C45" s="231">
        <f>+Real!E94</f>
        <v>0</v>
      </c>
      <c r="D45" s="231">
        <f>+Previsão!E94</f>
        <v>0</v>
      </c>
      <c r="E45" s="249">
        <f t="shared" si="4"/>
        <v>0</v>
      </c>
      <c r="F45" s="30"/>
      <c r="H45" s="233" t="e">
        <f t="shared" si="5"/>
        <v>#DIV/0!</v>
      </c>
    </row>
    <row r="46" spans="1:8" x14ac:dyDescent="0.3">
      <c r="A46" s="30"/>
      <c r="B46" s="37" t="str">
        <f>+Codigo!$C$50</f>
        <v>Pessoais</v>
      </c>
      <c r="C46" s="231">
        <f>+Real!E95</f>
        <v>0</v>
      </c>
      <c r="D46" s="231">
        <f>+Previsão!E95</f>
        <v>0</v>
      </c>
      <c r="E46" s="249">
        <f t="shared" si="4"/>
        <v>0</v>
      </c>
      <c r="F46" s="30"/>
      <c r="H46" s="233" t="e">
        <f t="shared" si="5"/>
        <v>#DIV/0!</v>
      </c>
    </row>
    <row r="47" spans="1:8" x14ac:dyDescent="0.3">
      <c r="A47" s="30"/>
      <c r="B47" s="37" t="str">
        <f>+Codigo!$C$54</f>
        <v>Lazer</v>
      </c>
      <c r="C47" s="231">
        <f>+Real!E96</f>
        <v>0</v>
      </c>
      <c r="D47" s="231">
        <f>+Previsão!E96</f>
        <v>0</v>
      </c>
      <c r="E47" s="249">
        <f t="shared" si="4"/>
        <v>0</v>
      </c>
      <c r="F47" s="30"/>
      <c r="H47" s="233" t="e">
        <f t="shared" si="5"/>
        <v>#DIV/0!</v>
      </c>
    </row>
    <row r="48" spans="1:8" x14ac:dyDescent="0.3">
      <c r="A48" s="30"/>
      <c r="B48" s="79" t="str">
        <f>+Codigo!$C$59</f>
        <v>Serviços Financeiros</v>
      </c>
      <c r="C48" s="231">
        <f>+Real!E97</f>
        <v>0</v>
      </c>
      <c r="D48" s="231">
        <f>+Previsão!E97</f>
        <v>0</v>
      </c>
      <c r="E48" s="249">
        <f t="shared" si="4"/>
        <v>0</v>
      </c>
      <c r="F48" s="30"/>
      <c r="H48" s="233" t="e">
        <f t="shared" si="5"/>
        <v>#DIV/0!</v>
      </c>
    </row>
    <row r="49" spans="1:8" ht="15.6" x14ac:dyDescent="0.3">
      <c r="A49" s="30"/>
      <c r="B49" s="80" t="s">
        <v>234</v>
      </c>
      <c r="C49" s="81">
        <f>+C37-C39</f>
        <v>0</v>
      </c>
      <c r="D49" s="81">
        <f>+D37-D39</f>
        <v>0</v>
      </c>
      <c r="E49" s="252">
        <f>+C49-D49</f>
        <v>0</v>
      </c>
      <c r="F49" s="30"/>
      <c r="H49" s="81"/>
    </row>
    <row r="51" spans="1:8" ht="25.8" x14ac:dyDescent="0.5">
      <c r="A51" s="135"/>
      <c r="B51" s="126" t="s">
        <v>264</v>
      </c>
      <c r="C51" s="136"/>
      <c r="D51" s="137" t="s">
        <v>63</v>
      </c>
      <c r="E51" s="229" t="s">
        <v>54</v>
      </c>
      <c r="F51" s="110"/>
    </row>
    <row r="52" spans="1:8" ht="15.6" x14ac:dyDescent="0.3">
      <c r="A52" s="24"/>
      <c r="B52" s="83" t="s">
        <v>236</v>
      </c>
      <c r="C52" s="23" t="s">
        <v>65</v>
      </c>
      <c r="D52" s="23" t="s">
        <v>64</v>
      </c>
      <c r="E52" s="23" t="s">
        <v>233</v>
      </c>
      <c r="F52" s="24"/>
      <c r="H52" s="284" t="s">
        <v>362</v>
      </c>
    </row>
    <row r="53" spans="1:8" x14ac:dyDescent="0.3">
      <c r="A53" s="30"/>
      <c r="B53" s="45" t="str">
        <f>+Codigo!$C$4</f>
        <v>Receita</v>
      </c>
      <c r="C53" s="231">
        <f>+Real!F86</f>
        <v>0</v>
      </c>
      <c r="D53" s="127">
        <f>+Previsão!F86</f>
        <v>0</v>
      </c>
      <c r="E53" s="249">
        <f>+C53-D53</f>
        <v>0</v>
      </c>
      <c r="F53" s="30"/>
      <c r="H53" s="284"/>
    </row>
    <row r="54" spans="1:8" x14ac:dyDescent="0.3">
      <c r="A54" s="30"/>
      <c r="B54" s="46"/>
      <c r="C54" s="129"/>
      <c r="D54" s="129"/>
      <c r="E54" s="250"/>
      <c r="F54" s="129"/>
      <c r="H54" s="248" t="s">
        <v>412</v>
      </c>
    </row>
    <row r="55" spans="1:8" x14ac:dyDescent="0.3">
      <c r="A55" s="30"/>
      <c r="B55" s="91" t="s">
        <v>235</v>
      </c>
      <c r="C55" s="230">
        <f>SUM(C56:C64)</f>
        <v>0</v>
      </c>
      <c r="D55" s="230">
        <f>SUM(D56:D64)</f>
        <v>0</v>
      </c>
      <c r="E55" s="251">
        <f>+D55-C55</f>
        <v>0</v>
      </c>
      <c r="F55" s="30"/>
      <c r="H55" s="247" t="e">
        <f>+C55/$C$53</f>
        <v>#DIV/0!</v>
      </c>
    </row>
    <row r="56" spans="1:8" x14ac:dyDescent="0.3">
      <c r="A56" s="30"/>
      <c r="B56" s="37" t="str">
        <f>+Codigo!$C$10</f>
        <v>Alimentação</v>
      </c>
      <c r="C56" s="231">
        <f>+Real!F89</f>
        <v>0</v>
      </c>
      <c r="D56" s="231">
        <f>+Previsão!F89</f>
        <v>0</v>
      </c>
      <c r="E56" s="249">
        <f>+D56-C56</f>
        <v>0</v>
      </c>
      <c r="F56" s="30"/>
      <c r="H56" s="233" t="e">
        <f>+C56/$C$53</f>
        <v>#DIV/0!</v>
      </c>
    </row>
    <row r="57" spans="1:8" x14ac:dyDescent="0.3">
      <c r="A57" s="30"/>
      <c r="B57" s="37" t="str">
        <f>+Codigo!$C$15</f>
        <v>Moradia</v>
      </c>
      <c r="C57" s="231">
        <f>+Real!F90</f>
        <v>0</v>
      </c>
      <c r="D57" s="231">
        <f>+Previsão!F90</f>
        <v>0</v>
      </c>
      <c r="E57" s="249">
        <f t="shared" ref="E57:E64" si="6">+D57-C57</f>
        <v>0</v>
      </c>
      <c r="F57" s="30"/>
      <c r="H57" s="233" t="e">
        <f t="shared" ref="H57:H64" si="7">+C57/$C$53</f>
        <v>#DIV/0!</v>
      </c>
    </row>
    <row r="58" spans="1:8" x14ac:dyDescent="0.3">
      <c r="A58" s="30"/>
      <c r="B58" s="37" t="str">
        <f>+Codigo!$C$27</f>
        <v>Educação</v>
      </c>
      <c r="C58" s="231">
        <f>+Real!F91</f>
        <v>0</v>
      </c>
      <c r="D58" s="231">
        <f>+Previsão!F91</f>
        <v>0</v>
      </c>
      <c r="E58" s="249">
        <f t="shared" si="6"/>
        <v>0</v>
      </c>
      <c r="F58" s="30"/>
      <c r="H58" s="233" t="e">
        <f t="shared" si="7"/>
        <v>#DIV/0!</v>
      </c>
    </row>
    <row r="59" spans="1:8" x14ac:dyDescent="0.3">
      <c r="A59" s="30"/>
      <c r="B59" s="37" t="str">
        <f>+Codigo!$C$31</f>
        <v>Animal de Estimação</v>
      </c>
      <c r="C59" s="231">
        <f>+Real!F92</f>
        <v>0</v>
      </c>
      <c r="D59" s="231">
        <f>+Previsão!F92</f>
        <v>0</v>
      </c>
      <c r="E59" s="249">
        <f t="shared" si="6"/>
        <v>0</v>
      </c>
      <c r="F59" s="30"/>
      <c r="H59" s="233" t="e">
        <f t="shared" si="7"/>
        <v>#DIV/0!</v>
      </c>
    </row>
    <row r="60" spans="1:8" x14ac:dyDescent="0.3">
      <c r="A60" s="30"/>
      <c r="B60" s="37" t="str">
        <f>+Codigo!$C$35</f>
        <v>Saúde</v>
      </c>
      <c r="C60" s="231">
        <f>+Real!F93</f>
        <v>0</v>
      </c>
      <c r="D60" s="231">
        <f>+Previsão!F93</f>
        <v>0</v>
      </c>
      <c r="E60" s="249">
        <f t="shared" si="6"/>
        <v>0</v>
      </c>
      <c r="F60" s="30"/>
      <c r="H60" s="233" t="e">
        <f t="shared" si="7"/>
        <v>#DIV/0!</v>
      </c>
    </row>
    <row r="61" spans="1:8" x14ac:dyDescent="0.3">
      <c r="A61" s="30"/>
      <c r="B61" s="37" t="str">
        <f>+Codigo!$C$41</f>
        <v>Transporte</v>
      </c>
      <c r="C61" s="231">
        <f>+Real!F94</f>
        <v>0</v>
      </c>
      <c r="D61" s="231">
        <f>+Previsão!F94</f>
        <v>0</v>
      </c>
      <c r="E61" s="249">
        <f t="shared" si="6"/>
        <v>0</v>
      </c>
      <c r="F61" s="30"/>
      <c r="H61" s="233" t="e">
        <f t="shared" si="7"/>
        <v>#DIV/0!</v>
      </c>
    </row>
    <row r="62" spans="1:8" x14ac:dyDescent="0.3">
      <c r="A62" s="30"/>
      <c r="B62" s="37" t="str">
        <f>+Codigo!$C$50</f>
        <v>Pessoais</v>
      </c>
      <c r="C62" s="231">
        <f>+Real!F95</f>
        <v>0</v>
      </c>
      <c r="D62" s="231">
        <f>+Previsão!F95</f>
        <v>0</v>
      </c>
      <c r="E62" s="249">
        <f t="shared" si="6"/>
        <v>0</v>
      </c>
      <c r="F62" s="30"/>
      <c r="H62" s="233" t="e">
        <f t="shared" si="7"/>
        <v>#DIV/0!</v>
      </c>
    </row>
    <row r="63" spans="1:8" x14ac:dyDescent="0.3">
      <c r="A63" s="30"/>
      <c r="B63" s="37" t="str">
        <f>+Codigo!$C$54</f>
        <v>Lazer</v>
      </c>
      <c r="C63" s="231">
        <f>+Real!F96</f>
        <v>0</v>
      </c>
      <c r="D63" s="231">
        <f>+Previsão!F96</f>
        <v>0</v>
      </c>
      <c r="E63" s="249">
        <f t="shared" si="6"/>
        <v>0</v>
      </c>
      <c r="F63" s="30"/>
      <c r="H63" s="233" t="e">
        <f t="shared" si="7"/>
        <v>#DIV/0!</v>
      </c>
    </row>
    <row r="64" spans="1:8" x14ac:dyDescent="0.3">
      <c r="A64" s="30"/>
      <c r="B64" s="79" t="str">
        <f>+Codigo!$C$59</f>
        <v>Serviços Financeiros</v>
      </c>
      <c r="C64" s="231">
        <f>+Real!F97</f>
        <v>0</v>
      </c>
      <c r="D64" s="231">
        <f>+Previsão!F97</f>
        <v>0</v>
      </c>
      <c r="E64" s="249">
        <f t="shared" si="6"/>
        <v>0</v>
      </c>
      <c r="F64" s="30"/>
      <c r="H64" s="233" t="e">
        <f t="shared" si="7"/>
        <v>#DIV/0!</v>
      </c>
    </row>
    <row r="65" spans="1:8" ht="15.6" x14ac:dyDescent="0.3">
      <c r="A65" s="30"/>
      <c r="B65" s="80" t="s">
        <v>234</v>
      </c>
      <c r="C65" s="81">
        <f>+C53-C55</f>
        <v>0</v>
      </c>
      <c r="D65" s="81">
        <f>+D53-D55</f>
        <v>0</v>
      </c>
      <c r="E65" s="252">
        <f>+C65-D65</f>
        <v>0</v>
      </c>
      <c r="F65" s="30"/>
      <c r="H65" s="81"/>
    </row>
    <row r="67" spans="1:8" ht="25.8" x14ac:dyDescent="0.5">
      <c r="A67" s="135"/>
      <c r="B67" s="126" t="s">
        <v>264</v>
      </c>
      <c r="C67" s="136"/>
      <c r="D67" s="137" t="s">
        <v>63</v>
      </c>
      <c r="E67" s="229" t="s">
        <v>55</v>
      </c>
      <c r="F67" s="110"/>
    </row>
    <row r="68" spans="1:8" ht="15.6" x14ac:dyDescent="0.3">
      <c r="A68" s="24"/>
      <c r="B68" s="83" t="s">
        <v>236</v>
      </c>
      <c r="C68" s="23" t="s">
        <v>65</v>
      </c>
      <c r="D68" s="23" t="s">
        <v>64</v>
      </c>
      <c r="E68" s="23" t="s">
        <v>233</v>
      </c>
      <c r="F68" s="24"/>
      <c r="H68" s="284" t="s">
        <v>362</v>
      </c>
    </row>
    <row r="69" spans="1:8" x14ac:dyDescent="0.3">
      <c r="A69" s="30"/>
      <c r="B69" s="45" t="str">
        <f>+Codigo!$C$4</f>
        <v>Receita</v>
      </c>
      <c r="C69" s="231">
        <f>+Real!G86</f>
        <v>0</v>
      </c>
      <c r="D69" s="231">
        <f>+Previsão!G86</f>
        <v>0</v>
      </c>
      <c r="E69" s="249">
        <f>+C69-D69</f>
        <v>0</v>
      </c>
      <c r="F69" s="30"/>
      <c r="H69" s="284"/>
    </row>
    <row r="70" spans="1:8" x14ac:dyDescent="0.3">
      <c r="A70" s="30"/>
      <c r="B70" s="46"/>
      <c r="C70" s="129"/>
      <c r="D70" s="129"/>
      <c r="E70" s="250"/>
      <c r="F70" s="129"/>
      <c r="H70" s="248" t="s">
        <v>412</v>
      </c>
    </row>
    <row r="71" spans="1:8" x14ac:dyDescent="0.3">
      <c r="A71" s="30"/>
      <c r="B71" s="91" t="s">
        <v>235</v>
      </c>
      <c r="C71" s="130">
        <f>SUM(C72:C80)</f>
        <v>0</v>
      </c>
      <c r="D71" s="130">
        <f>SUM(D72:D80)</f>
        <v>0</v>
      </c>
      <c r="E71" s="251">
        <f>+D71-C71</f>
        <v>0</v>
      </c>
      <c r="F71" s="30"/>
      <c r="H71" s="247" t="e">
        <f>+C71/$C$69</f>
        <v>#DIV/0!</v>
      </c>
    </row>
    <row r="72" spans="1:8" x14ac:dyDescent="0.3">
      <c r="A72" s="30"/>
      <c r="B72" s="37" t="str">
        <f>+Codigo!$C$10</f>
        <v>Alimentação</v>
      </c>
      <c r="C72" s="231">
        <f>+Real!G89</f>
        <v>0</v>
      </c>
      <c r="D72" s="231">
        <f>+Previsão!G89</f>
        <v>0</v>
      </c>
      <c r="E72" s="249">
        <f>+D72-C72</f>
        <v>0</v>
      </c>
      <c r="F72" s="30"/>
      <c r="H72" s="233" t="e">
        <f>+C72/$C$69</f>
        <v>#DIV/0!</v>
      </c>
    </row>
    <row r="73" spans="1:8" x14ac:dyDescent="0.3">
      <c r="A73" s="30"/>
      <c r="B73" s="37" t="str">
        <f>+Codigo!$C$15</f>
        <v>Moradia</v>
      </c>
      <c r="C73" s="231">
        <f>+Real!G90</f>
        <v>0</v>
      </c>
      <c r="D73" s="231">
        <f>+Previsão!G90</f>
        <v>0</v>
      </c>
      <c r="E73" s="249">
        <f t="shared" ref="E73:E80" si="8">+D73-C73</f>
        <v>0</v>
      </c>
      <c r="F73" s="30"/>
      <c r="H73" s="233" t="e">
        <f t="shared" ref="H73:H80" si="9">+C73/$C$69</f>
        <v>#DIV/0!</v>
      </c>
    </row>
    <row r="74" spans="1:8" x14ac:dyDescent="0.3">
      <c r="A74" s="30"/>
      <c r="B74" s="37" t="str">
        <f>+Codigo!$C$27</f>
        <v>Educação</v>
      </c>
      <c r="C74" s="231">
        <f>+Real!G91</f>
        <v>0</v>
      </c>
      <c r="D74" s="231">
        <f>+Previsão!G91</f>
        <v>0</v>
      </c>
      <c r="E74" s="249">
        <f t="shared" si="8"/>
        <v>0</v>
      </c>
      <c r="F74" s="30"/>
      <c r="H74" s="233" t="e">
        <f t="shared" si="9"/>
        <v>#DIV/0!</v>
      </c>
    </row>
    <row r="75" spans="1:8" x14ac:dyDescent="0.3">
      <c r="A75" s="30"/>
      <c r="B75" s="37" t="str">
        <f>+Codigo!$C$31</f>
        <v>Animal de Estimação</v>
      </c>
      <c r="C75" s="231">
        <f>+Real!G92</f>
        <v>0</v>
      </c>
      <c r="D75" s="231">
        <f>+Previsão!G92</f>
        <v>0</v>
      </c>
      <c r="E75" s="249">
        <f t="shared" si="8"/>
        <v>0</v>
      </c>
      <c r="F75" s="30"/>
      <c r="H75" s="233" t="e">
        <f t="shared" si="9"/>
        <v>#DIV/0!</v>
      </c>
    </row>
    <row r="76" spans="1:8" x14ac:dyDescent="0.3">
      <c r="A76" s="30"/>
      <c r="B76" s="37" t="str">
        <f>+Codigo!$C$35</f>
        <v>Saúde</v>
      </c>
      <c r="C76" s="231">
        <f>+Real!G93</f>
        <v>0</v>
      </c>
      <c r="D76" s="231">
        <f>+Previsão!G93</f>
        <v>0</v>
      </c>
      <c r="E76" s="249">
        <f t="shared" si="8"/>
        <v>0</v>
      </c>
      <c r="F76" s="30"/>
      <c r="H76" s="233" t="e">
        <f t="shared" si="9"/>
        <v>#DIV/0!</v>
      </c>
    </row>
    <row r="77" spans="1:8" x14ac:dyDescent="0.3">
      <c r="A77" s="30"/>
      <c r="B77" s="37" t="str">
        <f>+Codigo!$C$41</f>
        <v>Transporte</v>
      </c>
      <c r="C77" s="231">
        <f>+Real!G94</f>
        <v>0</v>
      </c>
      <c r="D77" s="231">
        <f>+Previsão!G94</f>
        <v>0</v>
      </c>
      <c r="E77" s="249">
        <f t="shared" si="8"/>
        <v>0</v>
      </c>
      <c r="F77" s="30"/>
      <c r="H77" s="233" t="e">
        <f t="shared" si="9"/>
        <v>#DIV/0!</v>
      </c>
    </row>
    <row r="78" spans="1:8" x14ac:dyDescent="0.3">
      <c r="A78" s="30"/>
      <c r="B78" s="37" t="str">
        <f>+Codigo!$C$50</f>
        <v>Pessoais</v>
      </c>
      <c r="C78" s="231">
        <f>+Real!G95</f>
        <v>0</v>
      </c>
      <c r="D78" s="231">
        <f>+Previsão!G95</f>
        <v>0</v>
      </c>
      <c r="E78" s="249">
        <f t="shared" si="8"/>
        <v>0</v>
      </c>
      <c r="F78" s="30"/>
      <c r="H78" s="233" t="e">
        <f t="shared" si="9"/>
        <v>#DIV/0!</v>
      </c>
    </row>
    <row r="79" spans="1:8" x14ac:dyDescent="0.3">
      <c r="A79" s="30"/>
      <c r="B79" s="37" t="str">
        <f>+Codigo!$C$54</f>
        <v>Lazer</v>
      </c>
      <c r="C79" s="231">
        <f>+Real!G96</f>
        <v>0</v>
      </c>
      <c r="D79" s="231">
        <f>+Previsão!G96</f>
        <v>0</v>
      </c>
      <c r="E79" s="249">
        <f t="shared" si="8"/>
        <v>0</v>
      </c>
      <c r="F79" s="30"/>
      <c r="H79" s="233" t="e">
        <f t="shared" si="9"/>
        <v>#DIV/0!</v>
      </c>
    </row>
    <row r="80" spans="1:8" x14ac:dyDescent="0.3">
      <c r="A80" s="30"/>
      <c r="B80" s="79" t="str">
        <f>+Codigo!$C$59</f>
        <v>Serviços Financeiros</v>
      </c>
      <c r="C80" s="231">
        <f>+Real!G97</f>
        <v>0</v>
      </c>
      <c r="D80" s="231">
        <f>+Previsão!G97</f>
        <v>0</v>
      </c>
      <c r="E80" s="249">
        <f t="shared" si="8"/>
        <v>0</v>
      </c>
      <c r="F80" s="30"/>
      <c r="H80" s="233" t="e">
        <f t="shared" si="9"/>
        <v>#DIV/0!</v>
      </c>
    </row>
    <row r="81" spans="1:8" ht="15.6" x14ac:dyDescent="0.3">
      <c r="A81" s="30"/>
      <c r="B81" s="80" t="s">
        <v>234</v>
      </c>
      <c r="C81" s="81">
        <f>+C69-C71</f>
        <v>0</v>
      </c>
      <c r="D81" s="81">
        <f>+D69-D71</f>
        <v>0</v>
      </c>
      <c r="E81" s="252">
        <f>+C81-D81</f>
        <v>0</v>
      </c>
      <c r="F81" s="30"/>
      <c r="H81" s="81"/>
    </row>
    <row r="83" spans="1:8" ht="25.8" x14ac:dyDescent="0.5">
      <c r="A83" s="135"/>
      <c r="B83" s="126" t="s">
        <v>264</v>
      </c>
      <c r="C83" s="136"/>
      <c r="D83" s="137" t="s">
        <v>63</v>
      </c>
      <c r="E83" s="229" t="s">
        <v>56</v>
      </c>
      <c r="F83" s="110"/>
    </row>
    <row r="84" spans="1:8" ht="15.6" x14ac:dyDescent="0.3">
      <c r="A84" s="24"/>
      <c r="B84" s="83" t="s">
        <v>236</v>
      </c>
      <c r="C84" s="23" t="s">
        <v>65</v>
      </c>
      <c r="D84" s="23" t="s">
        <v>64</v>
      </c>
      <c r="E84" s="23" t="s">
        <v>233</v>
      </c>
      <c r="F84" s="24"/>
      <c r="H84" s="284" t="s">
        <v>362</v>
      </c>
    </row>
    <row r="85" spans="1:8" x14ac:dyDescent="0.3">
      <c r="A85" s="30"/>
      <c r="B85" s="45" t="str">
        <f>+Codigo!$C$4</f>
        <v>Receita</v>
      </c>
      <c r="C85" s="231">
        <f>+Real!H86</f>
        <v>0</v>
      </c>
      <c r="D85" s="231">
        <f>+Previsão!H86</f>
        <v>0</v>
      </c>
      <c r="E85" s="249">
        <f>+C85-D85</f>
        <v>0</v>
      </c>
      <c r="F85" s="30"/>
      <c r="H85" s="284"/>
    </row>
    <row r="86" spans="1:8" x14ac:dyDescent="0.3">
      <c r="A86" s="30"/>
      <c r="B86" s="46"/>
      <c r="C86" s="129"/>
      <c r="D86" s="129"/>
      <c r="E86" s="250"/>
      <c r="F86" s="129"/>
      <c r="H86" s="248" t="s">
        <v>412</v>
      </c>
    </row>
    <row r="87" spans="1:8" x14ac:dyDescent="0.3">
      <c r="A87" s="30"/>
      <c r="B87" s="91" t="s">
        <v>235</v>
      </c>
      <c r="C87" s="130">
        <f>SUM(C88:C96)</f>
        <v>0</v>
      </c>
      <c r="D87" s="130">
        <f>SUM(D88:D96)</f>
        <v>0</v>
      </c>
      <c r="E87" s="251">
        <f>+D87-C87</f>
        <v>0</v>
      </c>
      <c r="F87" s="30"/>
      <c r="H87" s="247" t="e">
        <f>+C87/$C$85</f>
        <v>#DIV/0!</v>
      </c>
    </row>
    <row r="88" spans="1:8" x14ac:dyDescent="0.3">
      <c r="A88" s="30"/>
      <c r="B88" s="37" t="str">
        <f>+Codigo!$C$10</f>
        <v>Alimentação</v>
      </c>
      <c r="C88" s="231">
        <f>+Real!H89</f>
        <v>0</v>
      </c>
      <c r="D88" s="231">
        <f>+Previsão!H89</f>
        <v>0</v>
      </c>
      <c r="E88" s="249">
        <f>+D88-C88</f>
        <v>0</v>
      </c>
      <c r="F88" s="30"/>
      <c r="H88" s="233" t="e">
        <f>+C88/$C$85</f>
        <v>#DIV/0!</v>
      </c>
    </row>
    <row r="89" spans="1:8" x14ac:dyDescent="0.3">
      <c r="A89" s="30"/>
      <c r="B89" s="37" t="str">
        <f>+Codigo!$C$15</f>
        <v>Moradia</v>
      </c>
      <c r="C89" s="231">
        <f>+Real!H90</f>
        <v>0</v>
      </c>
      <c r="D89" s="231">
        <f>+Previsão!H90</f>
        <v>0</v>
      </c>
      <c r="E89" s="249">
        <f t="shared" ref="E89:E96" si="10">+D89-C89</f>
        <v>0</v>
      </c>
      <c r="F89" s="30"/>
      <c r="H89" s="233" t="e">
        <f t="shared" ref="H89:H96" si="11">+C89/$C$85</f>
        <v>#DIV/0!</v>
      </c>
    </row>
    <row r="90" spans="1:8" x14ac:dyDescent="0.3">
      <c r="A90" s="30"/>
      <c r="B90" s="37" t="str">
        <f>+Codigo!$C$27</f>
        <v>Educação</v>
      </c>
      <c r="C90" s="231">
        <f>+Real!H91</f>
        <v>0</v>
      </c>
      <c r="D90" s="231">
        <f>+Previsão!H91</f>
        <v>0</v>
      </c>
      <c r="E90" s="249">
        <f t="shared" si="10"/>
        <v>0</v>
      </c>
      <c r="F90" s="30"/>
      <c r="H90" s="233" t="e">
        <f t="shared" si="11"/>
        <v>#DIV/0!</v>
      </c>
    </row>
    <row r="91" spans="1:8" x14ac:dyDescent="0.3">
      <c r="A91" s="30"/>
      <c r="B91" s="37" t="str">
        <f>+Codigo!$C$31</f>
        <v>Animal de Estimação</v>
      </c>
      <c r="C91" s="231">
        <f>+Real!H92</f>
        <v>0</v>
      </c>
      <c r="D91" s="231">
        <f>+Previsão!H92</f>
        <v>0</v>
      </c>
      <c r="E91" s="249">
        <f t="shared" si="10"/>
        <v>0</v>
      </c>
      <c r="F91" s="30"/>
      <c r="H91" s="233" t="e">
        <f t="shared" si="11"/>
        <v>#DIV/0!</v>
      </c>
    </row>
    <row r="92" spans="1:8" x14ac:dyDescent="0.3">
      <c r="A92" s="30"/>
      <c r="B92" s="37" t="str">
        <f>+Codigo!$C$35</f>
        <v>Saúde</v>
      </c>
      <c r="C92" s="231">
        <f>+Real!H93</f>
        <v>0</v>
      </c>
      <c r="D92" s="231">
        <f>+Previsão!H93</f>
        <v>0</v>
      </c>
      <c r="E92" s="249">
        <f t="shared" si="10"/>
        <v>0</v>
      </c>
      <c r="F92" s="30"/>
      <c r="H92" s="233" t="e">
        <f t="shared" si="11"/>
        <v>#DIV/0!</v>
      </c>
    </row>
    <row r="93" spans="1:8" x14ac:dyDescent="0.3">
      <c r="A93" s="30"/>
      <c r="B93" s="37" t="str">
        <f>+Codigo!$C$41</f>
        <v>Transporte</v>
      </c>
      <c r="C93" s="231">
        <f>+Real!H94</f>
        <v>0</v>
      </c>
      <c r="D93" s="231">
        <f>+Previsão!H94</f>
        <v>0</v>
      </c>
      <c r="E93" s="249">
        <f t="shared" si="10"/>
        <v>0</v>
      </c>
      <c r="F93" s="30"/>
      <c r="H93" s="233" t="e">
        <f t="shared" si="11"/>
        <v>#DIV/0!</v>
      </c>
    </row>
    <row r="94" spans="1:8" x14ac:dyDescent="0.3">
      <c r="A94" s="30"/>
      <c r="B94" s="37" t="str">
        <f>+Codigo!$C$50</f>
        <v>Pessoais</v>
      </c>
      <c r="C94" s="231">
        <f>+Real!H95</f>
        <v>0</v>
      </c>
      <c r="D94" s="231">
        <f>+Previsão!H95</f>
        <v>0</v>
      </c>
      <c r="E94" s="249">
        <f t="shared" si="10"/>
        <v>0</v>
      </c>
      <c r="F94" s="30"/>
      <c r="H94" s="233" t="e">
        <f t="shared" si="11"/>
        <v>#DIV/0!</v>
      </c>
    </row>
    <row r="95" spans="1:8" x14ac:dyDescent="0.3">
      <c r="A95" s="30"/>
      <c r="B95" s="37" t="str">
        <f>+Codigo!$C$54</f>
        <v>Lazer</v>
      </c>
      <c r="C95" s="231">
        <f>+Real!H96</f>
        <v>0</v>
      </c>
      <c r="D95" s="231">
        <f>+Previsão!H96</f>
        <v>0</v>
      </c>
      <c r="E95" s="249">
        <f t="shared" si="10"/>
        <v>0</v>
      </c>
      <c r="F95" s="30"/>
      <c r="H95" s="233" t="e">
        <f t="shared" si="11"/>
        <v>#DIV/0!</v>
      </c>
    </row>
    <row r="96" spans="1:8" x14ac:dyDescent="0.3">
      <c r="A96" s="30"/>
      <c r="B96" s="79" t="str">
        <f>+Codigo!$C$59</f>
        <v>Serviços Financeiros</v>
      </c>
      <c r="C96" s="231">
        <f>+Real!H97</f>
        <v>0</v>
      </c>
      <c r="D96" s="231">
        <f>+Previsão!H97</f>
        <v>0</v>
      </c>
      <c r="E96" s="249">
        <f t="shared" si="10"/>
        <v>0</v>
      </c>
      <c r="F96" s="30"/>
      <c r="H96" s="233" t="e">
        <f t="shared" si="11"/>
        <v>#DIV/0!</v>
      </c>
    </row>
    <row r="97" spans="1:8" ht="15.6" x14ac:dyDescent="0.3">
      <c r="A97" s="30"/>
      <c r="B97" s="80" t="s">
        <v>234</v>
      </c>
      <c r="C97" s="81">
        <f>+C85-C87</f>
        <v>0</v>
      </c>
      <c r="D97" s="81">
        <f>+D85-D87</f>
        <v>0</v>
      </c>
      <c r="E97" s="252">
        <f>+C97-D97</f>
        <v>0</v>
      </c>
      <c r="F97" s="30"/>
      <c r="H97" s="81"/>
    </row>
    <row r="99" spans="1:8" ht="25.8" x14ac:dyDescent="0.5">
      <c r="A99" s="135"/>
      <c r="B99" s="126" t="s">
        <v>264</v>
      </c>
      <c r="C99" s="136"/>
      <c r="D99" s="137" t="s">
        <v>63</v>
      </c>
      <c r="E99" s="229" t="s">
        <v>57</v>
      </c>
      <c r="F99" s="110"/>
    </row>
    <row r="100" spans="1:8" ht="15.6" x14ac:dyDescent="0.3">
      <c r="A100" s="24"/>
      <c r="B100" s="83" t="s">
        <v>236</v>
      </c>
      <c r="C100" s="23" t="s">
        <v>65</v>
      </c>
      <c r="D100" s="23" t="s">
        <v>64</v>
      </c>
      <c r="E100" s="23" t="s">
        <v>233</v>
      </c>
      <c r="F100" s="24"/>
      <c r="H100" s="284" t="s">
        <v>362</v>
      </c>
    </row>
    <row r="101" spans="1:8" x14ac:dyDescent="0.3">
      <c r="A101" s="30"/>
      <c r="B101" s="45" t="str">
        <f>+Codigo!$C$4</f>
        <v>Receita</v>
      </c>
      <c r="C101" s="231">
        <f>+Real!I86</f>
        <v>0</v>
      </c>
      <c r="D101" s="231">
        <f>+Previsão!I86</f>
        <v>0</v>
      </c>
      <c r="E101" s="249">
        <f>+C101-D101</f>
        <v>0</v>
      </c>
      <c r="F101" s="30"/>
      <c r="H101" s="284"/>
    </row>
    <row r="102" spans="1:8" x14ac:dyDescent="0.3">
      <c r="A102" s="30"/>
      <c r="B102" s="46"/>
      <c r="C102" s="129"/>
      <c r="D102" s="129"/>
      <c r="E102" s="250"/>
      <c r="F102" s="129"/>
      <c r="H102" s="248" t="s">
        <v>412</v>
      </c>
    </row>
    <row r="103" spans="1:8" x14ac:dyDescent="0.3">
      <c r="A103" s="30"/>
      <c r="B103" s="91" t="s">
        <v>235</v>
      </c>
      <c r="C103" s="130">
        <f>SUM(C104:C112)</f>
        <v>0</v>
      </c>
      <c r="D103" s="130">
        <f>SUM(D104:D112)</f>
        <v>0</v>
      </c>
      <c r="E103" s="251">
        <f>+D103-C103</f>
        <v>0</v>
      </c>
      <c r="F103" s="30"/>
      <c r="H103" s="247" t="e">
        <f>+C103/$C$101</f>
        <v>#DIV/0!</v>
      </c>
    </row>
    <row r="104" spans="1:8" x14ac:dyDescent="0.3">
      <c r="A104" s="30"/>
      <c r="B104" s="37" t="str">
        <f>+Codigo!$C$10</f>
        <v>Alimentação</v>
      </c>
      <c r="C104" s="231">
        <f>+Real!I89</f>
        <v>0</v>
      </c>
      <c r="D104" s="231">
        <f>+Previsão!I89</f>
        <v>0</v>
      </c>
      <c r="E104" s="249">
        <f>+D104-C104</f>
        <v>0</v>
      </c>
      <c r="F104" s="30"/>
      <c r="H104" s="233" t="e">
        <f>+C104/$C$101</f>
        <v>#DIV/0!</v>
      </c>
    </row>
    <row r="105" spans="1:8" x14ac:dyDescent="0.3">
      <c r="A105" s="30"/>
      <c r="B105" s="37" t="str">
        <f>+Codigo!$C$15</f>
        <v>Moradia</v>
      </c>
      <c r="C105" s="231">
        <f>+Real!I90</f>
        <v>0</v>
      </c>
      <c r="D105" s="231">
        <f>+Previsão!I90</f>
        <v>0</v>
      </c>
      <c r="E105" s="249">
        <f t="shared" ref="E105:E112" si="12">+D105-C105</f>
        <v>0</v>
      </c>
      <c r="F105" s="30"/>
      <c r="H105" s="233" t="e">
        <f t="shared" ref="H105:H112" si="13">+C105/$C$101</f>
        <v>#DIV/0!</v>
      </c>
    </row>
    <row r="106" spans="1:8" x14ac:dyDescent="0.3">
      <c r="A106" s="30"/>
      <c r="B106" s="37" t="str">
        <f>+Codigo!$C$27</f>
        <v>Educação</v>
      </c>
      <c r="C106" s="231">
        <f>+Real!I91</f>
        <v>0</v>
      </c>
      <c r="D106" s="231">
        <f>+Previsão!I91</f>
        <v>0</v>
      </c>
      <c r="E106" s="249">
        <f t="shared" si="12"/>
        <v>0</v>
      </c>
      <c r="F106" s="30"/>
      <c r="H106" s="233" t="e">
        <f t="shared" si="13"/>
        <v>#DIV/0!</v>
      </c>
    </row>
    <row r="107" spans="1:8" x14ac:dyDescent="0.3">
      <c r="A107" s="30"/>
      <c r="B107" s="37" t="str">
        <f>+Codigo!$C$31</f>
        <v>Animal de Estimação</v>
      </c>
      <c r="C107" s="231">
        <f>+Real!I92</f>
        <v>0</v>
      </c>
      <c r="D107" s="231">
        <f>+Previsão!I92</f>
        <v>0</v>
      </c>
      <c r="E107" s="249">
        <f t="shared" si="12"/>
        <v>0</v>
      </c>
      <c r="F107" s="30"/>
      <c r="H107" s="233" t="e">
        <f t="shared" si="13"/>
        <v>#DIV/0!</v>
      </c>
    </row>
    <row r="108" spans="1:8" x14ac:dyDescent="0.3">
      <c r="A108" s="30"/>
      <c r="B108" s="37" t="str">
        <f>+Codigo!$C$35</f>
        <v>Saúde</v>
      </c>
      <c r="C108" s="231">
        <f>+Real!I93</f>
        <v>0</v>
      </c>
      <c r="D108" s="231">
        <f>+Previsão!I93</f>
        <v>0</v>
      </c>
      <c r="E108" s="249">
        <f t="shared" si="12"/>
        <v>0</v>
      </c>
      <c r="F108" s="30"/>
      <c r="H108" s="233" t="e">
        <f t="shared" si="13"/>
        <v>#DIV/0!</v>
      </c>
    </row>
    <row r="109" spans="1:8" x14ac:dyDescent="0.3">
      <c r="A109" s="30"/>
      <c r="B109" s="37" t="str">
        <f>+Codigo!$C$41</f>
        <v>Transporte</v>
      </c>
      <c r="C109" s="231">
        <f>+Real!I94</f>
        <v>0</v>
      </c>
      <c r="D109" s="231">
        <f>+Previsão!I94</f>
        <v>0</v>
      </c>
      <c r="E109" s="249">
        <f t="shared" si="12"/>
        <v>0</v>
      </c>
      <c r="F109" s="30"/>
      <c r="H109" s="233" t="e">
        <f t="shared" si="13"/>
        <v>#DIV/0!</v>
      </c>
    </row>
    <row r="110" spans="1:8" x14ac:dyDescent="0.3">
      <c r="A110" s="30"/>
      <c r="B110" s="37" t="str">
        <f>+Codigo!$C$50</f>
        <v>Pessoais</v>
      </c>
      <c r="C110" s="231">
        <f>+Real!I95</f>
        <v>0</v>
      </c>
      <c r="D110" s="231">
        <f>+Previsão!I95</f>
        <v>0</v>
      </c>
      <c r="E110" s="249">
        <f t="shared" si="12"/>
        <v>0</v>
      </c>
      <c r="F110" s="30"/>
      <c r="H110" s="233" t="e">
        <f t="shared" si="13"/>
        <v>#DIV/0!</v>
      </c>
    </row>
    <row r="111" spans="1:8" x14ac:dyDescent="0.3">
      <c r="A111" s="30"/>
      <c r="B111" s="37" t="str">
        <f>+Codigo!$C$54</f>
        <v>Lazer</v>
      </c>
      <c r="C111" s="231">
        <f>+Real!I96</f>
        <v>0</v>
      </c>
      <c r="D111" s="231">
        <f>+Previsão!I96</f>
        <v>0</v>
      </c>
      <c r="E111" s="249">
        <f t="shared" si="12"/>
        <v>0</v>
      </c>
      <c r="F111" s="30"/>
      <c r="H111" s="233" t="e">
        <f t="shared" si="13"/>
        <v>#DIV/0!</v>
      </c>
    </row>
    <row r="112" spans="1:8" x14ac:dyDescent="0.3">
      <c r="A112" s="30"/>
      <c r="B112" s="79" t="str">
        <f>+Codigo!$C$59</f>
        <v>Serviços Financeiros</v>
      </c>
      <c r="C112" s="231">
        <f>+Real!I97</f>
        <v>0</v>
      </c>
      <c r="D112" s="231">
        <f>+Previsão!I97</f>
        <v>0</v>
      </c>
      <c r="E112" s="249">
        <f t="shared" si="12"/>
        <v>0</v>
      </c>
      <c r="F112" s="30"/>
      <c r="H112" s="233" t="e">
        <f t="shared" si="13"/>
        <v>#DIV/0!</v>
      </c>
    </row>
    <row r="113" spans="1:8" ht="15.6" x14ac:dyDescent="0.3">
      <c r="A113" s="30"/>
      <c r="B113" s="80" t="s">
        <v>234</v>
      </c>
      <c r="C113" s="81">
        <f>+C101-C103</f>
        <v>0</v>
      </c>
      <c r="D113" s="81">
        <f>+D101-D103</f>
        <v>0</v>
      </c>
      <c r="E113" s="252">
        <f>+C113-D113</f>
        <v>0</v>
      </c>
      <c r="F113" s="30"/>
      <c r="H113" s="81"/>
    </row>
    <row r="115" spans="1:8" ht="25.8" x14ac:dyDescent="0.5">
      <c r="A115" s="135"/>
      <c r="B115" s="126" t="s">
        <v>264</v>
      </c>
      <c r="C115" s="136"/>
      <c r="D115" s="137" t="s">
        <v>63</v>
      </c>
      <c r="E115" s="229" t="s">
        <v>58</v>
      </c>
      <c r="F115" s="110"/>
    </row>
    <row r="116" spans="1:8" ht="15.6" x14ac:dyDescent="0.3">
      <c r="A116" s="24"/>
      <c r="B116" s="83" t="s">
        <v>236</v>
      </c>
      <c r="C116" s="23" t="s">
        <v>65</v>
      </c>
      <c r="D116" s="23" t="s">
        <v>64</v>
      </c>
      <c r="E116" s="23" t="s">
        <v>233</v>
      </c>
      <c r="F116" s="24"/>
      <c r="H116" s="284" t="s">
        <v>362</v>
      </c>
    </row>
    <row r="117" spans="1:8" x14ac:dyDescent="0.3">
      <c r="A117" s="30"/>
      <c r="B117" s="45" t="str">
        <f>+Codigo!$C$4</f>
        <v>Receita</v>
      </c>
      <c r="C117" s="231">
        <f>+Real!J86</f>
        <v>0</v>
      </c>
      <c r="D117" s="231">
        <f>+Previsão!J86</f>
        <v>0</v>
      </c>
      <c r="E117" s="249">
        <f>+C117-D117</f>
        <v>0</v>
      </c>
      <c r="F117" s="30"/>
      <c r="H117" s="284"/>
    </row>
    <row r="118" spans="1:8" x14ac:dyDescent="0.3">
      <c r="A118" s="30"/>
      <c r="B118" s="46"/>
      <c r="C118" s="129"/>
      <c r="D118" s="129"/>
      <c r="E118" s="250"/>
      <c r="F118" s="129"/>
      <c r="H118" s="248" t="s">
        <v>412</v>
      </c>
    </row>
    <row r="119" spans="1:8" x14ac:dyDescent="0.3">
      <c r="A119" s="30"/>
      <c r="B119" s="91" t="s">
        <v>235</v>
      </c>
      <c r="C119" s="130">
        <f>SUM(C120:C128)</f>
        <v>0</v>
      </c>
      <c r="D119" s="130">
        <f>SUM(D120:D128)</f>
        <v>0</v>
      </c>
      <c r="E119" s="251">
        <f>+D119-C119</f>
        <v>0</v>
      </c>
      <c r="F119" s="30"/>
      <c r="H119" s="247" t="e">
        <f>+C119/$C$117</f>
        <v>#DIV/0!</v>
      </c>
    </row>
    <row r="120" spans="1:8" x14ac:dyDescent="0.3">
      <c r="A120" s="30"/>
      <c r="B120" s="37" t="str">
        <f>+Codigo!$C$10</f>
        <v>Alimentação</v>
      </c>
      <c r="C120" s="231">
        <f>+Real!J89</f>
        <v>0</v>
      </c>
      <c r="D120" s="231">
        <f>+Previsão!J89</f>
        <v>0</v>
      </c>
      <c r="E120" s="249">
        <f>+D120-C120</f>
        <v>0</v>
      </c>
      <c r="F120" s="30"/>
      <c r="H120" s="233" t="e">
        <f>+C120/$C$117</f>
        <v>#DIV/0!</v>
      </c>
    </row>
    <row r="121" spans="1:8" x14ac:dyDescent="0.3">
      <c r="A121" s="30"/>
      <c r="B121" s="37" t="str">
        <f>+Codigo!$C$15</f>
        <v>Moradia</v>
      </c>
      <c r="C121" s="231">
        <f>+Real!J90</f>
        <v>0</v>
      </c>
      <c r="D121" s="231">
        <f>+Previsão!J90</f>
        <v>0</v>
      </c>
      <c r="E121" s="249">
        <f t="shared" ref="E121:E128" si="14">+D121-C121</f>
        <v>0</v>
      </c>
      <c r="F121" s="30"/>
      <c r="H121" s="233" t="e">
        <f t="shared" ref="H121:H128" si="15">+C121/$C$117</f>
        <v>#DIV/0!</v>
      </c>
    </row>
    <row r="122" spans="1:8" x14ac:dyDescent="0.3">
      <c r="A122" s="30"/>
      <c r="B122" s="37" t="str">
        <f>+Codigo!$C$27</f>
        <v>Educação</v>
      </c>
      <c r="C122" s="231">
        <f>+Real!J91</f>
        <v>0</v>
      </c>
      <c r="D122" s="231">
        <f>+Previsão!J91</f>
        <v>0</v>
      </c>
      <c r="E122" s="249">
        <f t="shared" si="14"/>
        <v>0</v>
      </c>
      <c r="F122" s="30"/>
      <c r="H122" s="233" t="e">
        <f t="shared" si="15"/>
        <v>#DIV/0!</v>
      </c>
    </row>
    <row r="123" spans="1:8" x14ac:dyDescent="0.3">
      <c r="A123" s="30"/>
      <c r="B123" s="37" t="str">
        <f>+Codigo!$C$31</f>
        <v>Animal de Estimação</v>
      </c>
      <c r="C123" s="231">
        <f>+Real!J92</f>
        <v>0</v>
      </c>
      <c r="D123" s="231">
        <f>+Previsão!J92</f>
        <v>0</v>
      </c>
      <c r="E123" s="249">
        <f t="shared" si="14"/>
        <v>0</v>
      </c>
      <c r="F123" s="30"/>
      <c r="H123" s="233" t="e">
        <f t="shared" si="15"/>
        <v>#DIV/0!</v>
      </c>
    </row>
    <row r="124" spans="1:8" x14ac:dyDescent="0.3">
      <c r="A124" s="30"/>
      <c r="B124" s="37" t="str">
        <f>+Codigo!$C$35</f>
        <v>Saúde</v>
      </c>
      <c r="C124" s="231">
        <f>+Real!J93</f>
        <v>0</v>
      </c>
      <c r="D124" s="231">
        <f>+Previsão!J93</f>
        <v>0</v>
      </c>
      <c r="E124" s="249">
        <f t="shared" si="14"/>
        <v>0</v>
      </c>
      <c r="F124" s="30"/>
      <c r="H124" s="233" t="e">
        <f t="shared" si="15"/>
        <v>#DIV/0!</v>
      </c>
    </row>
    <row r="125" spans="1:8" x14ac:dyDescent="0.3">
      <c r="A125" s="30"/>
      <c r="B125" s="37" t="str">
        <f>+Codigo!$C$41</f>
        <v>Transporte</v>
      </c>
      <c r="C125" s="231">
        <f>+Real!J94</f>
        <v>0</v>
      </c>
      <c r="D125" s="231">
        <f>+Previsão!J94</f>
        <v>0</v>
      </c>
      <c r="E125" s="249">
        <f t="shared" si="14"/>
        <v>0</v>
      </c>
      <c r="F125" s="30"/>
      <c r="H125" s="233" t="e">
        <f t="shared" si="15"/>
        <v>#DIV/0!</v>
      </c>
    </row>
    <row r="126" spans="1:8" x14ac:dyDescent="0.3">
      <c r="A126" s="30"/>
      <c r="B126" s="37" t="str">
        <f>+Codigo!$C$50</f>
        <v>Pessoais</v>
      </c>
      <c r="C126" s="231">
        <f>+Real!J95</f>
        <v>0</v>
      </c>
      <c r="D126" s="231">
        <f>+Previsão!J95</f>
        <v>0</v>
      </c>
      <c r="E126" s="249">
        <f t="shared" si="14"/>
        <v>0</v>
      </c>
      <c r="F126" s="30"/>
      <c r="H126" s="233" t="e">
        <f t="shared" si="15"/>
        <v>#DIV/0!</v>
      </c>
    </row>
    <row r="127" spans="1:8" x14ac:dyDescent="0.3">
      <c r="A127" s="30"/>
      <c r="B127" s="37" t="str">
        <f>+Codigo!$C$54</f>
        <v>Lazer</v>
      </c>
      <c r="C127" s="231">
        <f>+Real!J96</f>
        <v>0</v>
      </c>
      <c r="D127" s="231">
        <f>+Previsão!J96</f>
        <v>0</v>
      </c>
      <c r="E127" s="249">
        <f t="shared" si="14"/>
        <v>0</v>
      </c>
      <c r="F127" s="30"/>
      <c r="H127" s="233" t="e">
        <f t="shared" si="15"/>
        <v>#DIV/0!</v>
      </c>
    </row>
    <row r="128" spans="1:8" x14ac:dyDescent="0.3">
      <c r="A128" s="30"/>
      <c r="B128" s="79" t="str">
        <f>+Codigo!$C$59</f>
        <v>Serviços Financeiros</v>
      </c>
      <c r="C128" s="231">
        <f>+Real!J97</f>
        <v>0</v>
      </c>
      <c r="D128" s="231">
        <f>+Previsão!J97</f>
        <v>0</v>
      </c>
      <c r="E128" s="249">
        <f t="shared" si="14"/>
        <v>0</v>
      </c>
      <c r="F128" s="30"/>
      <c r="H128" s="233" t="e">
        <f t="shared" si="15"/>
        <v>#DIV/0!</v>
      </c>
    </row>
    <row r="129" spans="1:8" ht="15.6" x14ac:dyDescent="0.3">
      <c r="A129" s="30"/>
      <c r="B129" s="80" t="s">
        <v>234</v>
      </c>
      <c r="C129" s="81">
        <f>+C117-C119</f>
        <v>0</v>
      </c>
      <c r="D129" s="81">
        <f>+D117-D119</f>
        <v>0</v>
      </c>
      <c r="E129" s="252">
        <f>+C129-D129</f>
        <v>0</v>
      </c>
      <c r="F129" s="30"/>
      <c r="H129" s="81"/>
    </row>
    <row r="131" spans="1:8" ht="25.8" x14ac:dyDescent="0.5">
      <c r="A131" s="135"/>
      <c r="B131" s="126" t="s">
        <v>264</v>
      </c>
      <c r="C131" s="136"/>
      <c r="D131" s="137" t="s">
        <v>63</v>
      </c>
      <c r="E131" s="229" t="s">
        <v>59</v>
      </c>
      <c r="F131" s="110"/>
    </row>
    <row r="132" spans="1:8" ht="15.6" x14ac:dyDescent="0.3">
      <c r="A132" s="24"/>
      <c r="B132" s="83" t="s">
        <v>236</v>
      </c>
      <c r="C132" s="23" t="s">
        <v>65</v>
      </c>
      <c r="D132" s="23" t="s">
        <v>64</v>
      </c>
      <c r="E132" s="23" t="s">
        <v>233</v>
      </c>
      <c r="F132" s="24"/>
      <c r="H132" s="284" t="s">
        <v>362</v>
      </c>
    </row>
    <row r="133" spans="1:8" x14ac:dyDescent="0.3">
      <c r="A133" s="30"/>
      <c r="B133" s="45" t="str">
        <f>+Codigo!$C$4</f>
        <v>Receita</v>
      </c>
      <c r="C133" s="231">
        <f>+Real!K86</f>
        <v>0</v>
      </c>
      <c r="D133" s="231">
        <f>+Previsão!K86</f>
        <v>0</v>
      </c>
      <c r="E133" s="249">
        <f>+C133-D133</f>
        <v>0</v>
      </c>
      <c r="F133" s="30"/>
      <c r="H133" s="284"/>
    </row>
    <row r="134" spans="1:8" x14ac:dyDescent="0.3">
      <c r="A134" s="30"/>
      <c r="B134" s="46"/>
      <c r="C134" s="129"/>
      <c r="D134" s="129"/>
      <c r="E134" s="250"/>
      <c r="F134" s="129"/>
      <c r="H134" s="248" t="s">
        <v>412</v>
      </c>
    </row>
    <row r="135" spans="1:8" x14ac:dyDescent="0.3">
      <c r="A135" s="30"/>
      <c r="B135" s="91" t="s">
        <v>235</v>
      </c>
      <c r="C135" s="130">
        <f>SUM(C136:C144)</f>
        <v>0</v>
      </c>
      <c r="D135" s="130">
        <f>SUM(D136:D144)</f>
        <v>0</v>
      </c>
      <c r="E135" s="251">
        <f>+D135-C135</f>
        <v>0</v>
      </c>
      <c r="F135" s="30"/>
      <c r="H135" s="247" t="e">
        <f>+C135/$C$133</f>
        <v>#DIV/0!</v>
      </c>
    </row>
    <row r="136" spans="1:8" x14ac:dyDescent="0.3">
      <c r="A136" s="30"/>
      <c r="B136" s="37" t="str">
        <f>+Codigo!$C$10</f>
        <v>Alimentação</v>
      </c>
      <c r="C136" s="231">
        <f>+Real!K89</f>
        <v>0</v>
      </c>
      <c r="D136" s="231">
        <f>+Previsão!K89</f>
        <v>0</v>
      </c>
      <c r="E136" s="249">
        <f>+D136-C136</f>
        <v>0</v>
      </c>
      <c r="F136" s="30"/>
      <c r="H136" s="233" t="e">
        <f>+C136/$C$133</f>
        <v>#DIV/0!</v>
      </c>
    </row>
    <row r="137" spans="1:8" x14ac:dyDescent="0.3">
      <c r="A137" s="30"/>
      <c r="B137" s="37" t="str">
        <f>+Codigo!$C$15</f>
        <v>Moradia</v>
      </c>
      <c r="C137" s="231">
        <f>+Real!K90</f>
        <v>0</v>
      </c>
      <c r="D137" s="231">
        <f>+Previsão!K90</f>
        <v>0</v>
      </c>
      <c r="E137" s="249">
        <f t="shared" ref="E137:E144" si="16">+D137-C137</f>
        <v>0</v>
      </c>
      <c r="F137" s="30"/>
      <c r="H137" s="233" t="e">
        <f t="shared" ref="H137:H144" si="17">+C137/$C$133</f>
        <v>#DIV/0!</v>
      </c>
    </row>
    <row r="138" spans="1:8" x14ac:dyDescent="0.3">
      <c r="A138" s="30"/>
      <c r="B138" s="37" t="str">
        <f>+Codigo!$C$27</f>
        <v>Educação</v>
      </c>
      <c r="C138" s="231">
        <f>+Real!K91</f>
        <v>0</v>
      </c>
      <c r="D138" s="231">
        <f>+Previsão!K91</f>
        <v>0</v>
      </c>
      <c r="E138" s="249">
        <f t="shared" si="16"/>
        <v>0</v>
      </c>
      <c r="F138" s="30"/>
      <c r="H138" s="233" t="e">
        <f t="shared" si="17"/>
        <v>#DIV/0!</v>
      </c>
    </row>
    <row r="139" spans="1:8" x14ac:dyDescent="0.3">
      <c r="A139" s="30"/>
      <c r="B139" s="37" t="str">
        <f>+Codigo!$C$31</f>
        <v>Animal de Estimação</v>
      </c>
      <c r="C139" s="231">
        <f>+Real!K92</f>
        <v>0</v>
      </c>
      <c r="D139" s="231">
        <f>+Previsão!K92</f>
        <v>0</v>
      </c>
      <c r="E139" s="249">
        <f t="shared" si="16"/>
        <v>0</v>
      </c>
      <c r="F139" s="30"/>
      <c r="H139" s="233" t="e">
        <f t="shared" si="17"/>
        <v>#DIV/0!</v>
      </c>
    </row>
    <row r="140" spans="1:8" x14ac:dyDescent="0.3">
      <c r="A140" s="30"/>
      <c r="B140" s="37" t="str">
        <f>+Codigo!$C$35</f>
        <v>Saúde</v>
      </c>
      <c r="C140" s="231">
        <f>+Real!K93</f>
        <v>0</v>
      </c>
      <c r="D140" s="231">
        <f>+Previsão!K93</f>
        <v>0</v>
      </c>
      <c r="E140" s="249">
        <f t="shared" si="16"/>
        <v>0</v>
      </c>
      <c r="F140" s="30"/>
      <c r="H140" s="233" t="e">
        <f t="shared" si="17"/>
        <v>#DIV/0!</v>
      </c>
    </row>
    <row r="141" spans="1:8" x14ac:dyDescent="0.3">
      <c r="A141" s="30"/>
      <c r="B141" s="37" t="str">
        <f>+Codigo!$C$41</f>
        <v>Transporte</v>
      </c>
      <c r="C141" s="231">
        <f>+Real!K94</f>
        <v>0</v>
      </c>
      <c r="D141" s="231">
        <f>+Previsão!K94</f>
        <v>0</v>
      </c>
      <c r="E141" s="249">
        <f t="shared" si="16"/>
        <v>0</v>
      </c>
      <c r="F141" s="30"/>
      <c r="H141" s="233" t="e">
        <f t="shared" si="17"/>
        <v>#DIV/0!</v>
      </c>
    </row>
    <row r="142" spans="1:8" x14ac:dyDescent="0.3">
      <c r="A142" s="30"/>
      <c r="B142" s="37" t="str">
        <f>+Codigo!$C$50</f>
        <v>Pessoais</v>
      </c>
      <c r="C142" s="231">
        <f>+Real!K95</f>
        <v>0</v>
      </c>
      <c r="D142" s="231">
        <f>+Previsão!K95</f>
        <v>0</v>
      </c>
      <c r="E142" s="249">
        <f t="shared" si="16"/>
        <v>0</v>
      </c>
      <c r="F142" s="30"/>
      <c r="H142" s="233" t="e">
        <f t="shared" si="17"/>
        <v>#DIV/0!</v>
      </c>
    </row>
    <row r="143" spans="1:8" x14ac:dyDescent="0.3">
      <c r="A143" s="30"/>
      <c r="B143" s="37" t="str">
        <f>+Codigo!$C$54</f>
        <v>Lazer</v>
      </c>
      <c r="C143" s="231">
        <f>+Real!K96</f>
        <v>0</v>
      </c>
      <c r="D143" s="231">
        <f>+Previsão!K96</f>
        <v>0</v>
      </c>
      <c r="E143" s="249">
        <f t="shared" si="16"/>
        <v>0</v>
      </c>
      <c r="F143" s="30"/>
      <c r="H143" s="233" t="e">
        <f t="shared" si="17"/>
        <v>#DIV/0!</v>
      </c>
    </row>
    <row r="144" spans="1:8" x14ac:dyDescent="0.3">
      <c r="A144" s="30"/>
      <c r="B144" s="79" t="str">
        <f>+Codigo!$C$59</f>
        <v>Serviços Financeiros</v>
      </c>
      <c r="C144" s="231">
        <f>+Real!K97</f>
        <v>0</v>
      </c>
      <c r="D144" s="231">
        <f>+Previsão!K97</f>
        <v>0</v>
      </c>
      <c r="E144" s="249">
        <f t="shared" si="16"/>
        <v>0</v>
      </c>
      <c r="F144" s="30"/>
      <c r="H144" s="233" t="e">
        <f t="shared" si="17"/>
        <v>#DIV/0!</v>
      </c>
    </row>
    <row r="145" spans="1:8" ht="15.6" x14ac:dyDescent="0.3">
      <c r="A145" s="30"/>
      <c r="B145" s="80" t="s">
        <v>234</v>
      </c>
      <c r="C145" s="81">
        <f>+C133-C135</f>
        <v>0</v>
      </c>
      <c r="D145" s="81">
        <f>+D133-D135</f>
        <v>0</v>
      </c>
      <c r="E145" s="252">
        <f>+C145-D145</f>
        <v>0</v>
      </c>
      <c r="F145" s="30"/>
      <c r="H145" s="81"/>
    </row>
    <row r="147" spans="1:8" ht="25.8" x14ac:dyDescent="0.5">
      <c r="A147" s="135"/>
      <c r="B147" s="126" t="s">
        <v>264</v>
      </c>
      <c r="C147" s="136"/>
      <c r="D147" s="137" t="s">
        <v>63</v>
      </c>
      <c r="E147" s="229" t="s">
        <v>60</v>
      </c>
      <c r="F147" s="110"/>
    </row>
    <row r="148" spans="1:8" ht="15.6" x14ac:dyDescent="0.3">
      <c r="A148" s="24"/>
      <c r="B148" s="83" t="s">
        <v>236</v>
      </c>
      <c r="C148" s="23" t="s">
        <v>65</v>
      </c>
      <c r="D148" s="23" t="s">
        <v>64</v>
      </c>
      <c r="E148" s="23" t="s">
        <v>233</v>
      </c>
      <c r="F148" s="24"/>
      <c r="H148" s="284" t="s">
        <v>362</v>
      </c>
    </row>
    <row r="149" spans="1:8" x14ac:dyDescent="0.3">
      <c r="A149" s="30"/>
      <c r="B149" s="45" t="str">
        <f>+Codigo!$C$4</f>
        <v>Receita</v>
      </c>
      <c r="C149" s="231">
        <f>+Real!L86</f>
        <v>0</v>
      </c>
      <c r="D149" s="231">
        <f>+Previsão!L86</f>
        <v>0</v>
      </c>
      <c r="E149" s="249">
        <f>+C149-D149</f>
        <v>0</v>
      </c>
      <c r="F149" s="30"/>
      <c r="H149" s="284"/>
    </row>
    <row r="150" spans="1:8" x14ac:dyDescent="0.3">
      <c r="A150" s="30"/>
      <c r="B150" s="46"/>
      <c r="C150" s="129"/>
      <c r="D150" s="129"/>
      <c r="E150" s="250"/>
      <c r="F150" s="129"/>
      <c r="H150" s="248" t="s">
        <v>412</v>
      </c>
    </row>
    <row r="151" spans="1:8" x14ac:dyDescent="0.3">
      <c r="A151" s="30"/>
      <c r="B151" s="91" t="s">
        <v>235</v>
      </c>
      <c r="C151" s="130">
        <f>SUM(C152:C160)</f>
        <v>0</v>
      </c>
      <c r="D151" s="130">
        <f>SUM(D152:D160)</f>
        <v>0</v>
      </c>
      <c r="E151" s="251">
        <f>+D151-C151</f>
        <v>0</v>
      </c>
      <c r="F151" s="30"/>
      <c r="H151" s="247" t="e">
        <f>+C151/$C$149</f>
        <v>#DIV/0!</v>
      </c>
    </row>
    <row r="152" spans="1:8" x14ac:dyDescent="0.3">
      <c r="A152" s="30"/>
      <c r="B152" s="37" t="str">
        <f>+Codigo!$C$10</f>
        <v>Alimentação</v>
      </c>
      <c r="C152" s="231">
        <f>+Real!L89</f>
        <v>0</v>
      </c>
      <c r="D152" s="231">
        <f>+Previsão!L89</f>
        <v>0</v>
      </c>
      <c r="E152" s="249">
        <f>+D152-C152</f>
        <v>0</v>
      </c>
      <c r="F152" s="30"/>
      <c r="H152" s="233" t="e">
        <f>+C152/$C$149</f>
        <v>#DIV/0!</v>
      </c>
    </row>
    <row r="153" spans="1:8" x14ac:dyDescent="0.3">
      <c r="A153" s="30"/>
      <c r="B153" s="37" t="str">
        <f>+Codigo!$C$15</f>
        <v>Moradia</v>
      </c>
      <c r="C153" s="231">
        <f>+Real!L90</f>
        <v>0</v>
      </c>
      <c r="D153" s="231">
        <f>+Previsão!L90</f>
        <v>0</v>
      </c>
      <c r="E153" s="249">
        <f t="shared" ref="E153:E160" si="18">+D153-C153</f>
        <v>0</v>
      </c>
      <c r="F153" s="30"/>
      <c r="H153" s="233" t="e">
        <f t="shared" ref="H153:H160" si="19">+C153/$C$149</f>
        <v>#DIV/0!</v>
      </c>
    </row>
    <row r="154" spans="1:8" x14ac:dyDescent="0.3">
      <c r="A154" s="30"/>
      <c r="B154" s="37" t="str">
        <f>+Codigo!$C$27</f>
        <v>Educação</v>
      </c>
      <c r="C154" s="231">
        <f>+Real!L91</f>
        <v>0</v>
      </c>
      <c r="D154" s="231">
        <f>+Previsão!L91</f>
        <v>0</v>
      </c>
      <c r="E154" s="249">
        <f t="shared" si="18"/>
        <v>0</v>
      </c>
      <c r="F154" s="30"/>
      <c r="H154" s="233" t="e">
        <f t="shared" si="19"/>
        <v>#DIV/0!</v>
      </c>
    </row>
    <row r="155" spans="1:8" x14ac:dyDescent="0.3">
      <c r="A155" s="30"/>
      <c r="B155" s="37" t="str">
        <f>+Codigo!$C$31</f>
        <v>Animal de Estimação</v>
      </c>
      <c r="C155" s="231">
        <f>+Real!L92</f>
        <v>0</v>
      </c>
      <c r="D155" s="231">
        <f>+Previsão!L92</f>
        <v>0</v>
      </c>
      <c r="E155" s="249">
        <f t="shared" si="18"/>
        <v>0</v>
      </c>
      <c r="F155" s="30"/>
      <c r="H155" s="233" t="e">
        <f t="shared" si="19"/>
        <v>#DIV/0!</v>
      </c>
    </row>
    <row r="156" spans="1:8" x14ac:dyDescent="0.3">
      <c r="A156" s="30"/>
      <c r="B156" s="37" t="str">
        <f>+Codigo!$C$35</f>
        <v>Saúde</v>
      </c>
      <c r="C156" s="231">
        <f>+Real!L93</f>
        <v>0</v>
      </c>
      <c r="D156" s="231">
        <f>+Previsão!L93</f>
        <v>0</v>
      </c>
      <c r="E156" s="249">
        <f t="shared" si="18"/>
        <v>0</v>
      </c>
      <c r="F156" s="30"/>
      <c r="H156" s="233" t="e">
        <f t="shared" si="19"/>
        <v>#DIV/0!</v>
      </c>
    </row>
    <row r="157" spans="1:8" x14ac:dyDescent="0.3">
      <c r="A157" s="30"/>
      <c r="B157" s="37" t="str">
        <f>+Codigo!$C$41</f>
        <v>Transporte</v>
      </c>
      <c r="C157" s="231">
        <f>+Real!L94</f>
        <v>0</v>
      </c>
      <c r="D157" s="231">
        <f>+Previsão!L94</f>
        <v>0</v>
      </c>
      <c r="E157" s="249">
        <f t="shared" si="18"/>
        <v>0</v>
      </c>
      <c r="F157" s="30"/>
      <c r="H157" s="233" t="e">
        <f t="shared" si="19"/>
        <v>#DIV/0!</v>
      </c>
    </row>
    <row r="158" spans="1:8" x14ac:dyDescent="0.3">
      <c r="A158" s="30"/>
      <c r="B158" s="37" t="str">
        <f>+Codigo!$C$50</f>
        <v>Pessoais</v>
      </c>
      <c r="C158" s="231">
        <f>+Real!L95</f>
        <v>0</v>
      </c>
      <c r="D158" s="231">
        <f>+Previsão!L95</f>
        <v>0</v>
      </c>
      <c r="E158" s="249">
        <f t="shared" si="18"/>
        <v>0</v>
      </c>
      <c r="F158" s="30"/>
      <c r="H158" s="233" t="e">
        <f t="shared" si="19"/>
        <v>#DIV/0!</v>
      </c>
    </row>
    <row r="159" spans="1:8" x14ac:dyDescent="0.3">
      <c r="A159" s="30"/>
      <c r="B159" s="37" t="str">
        <f>+Codigo!$C$54</f>
        <v>Lazer</v>
      </c>
      <c r="C159" s="231">
        <f>+Real!L96</f>
        <v>0</v>
      </c>
      <c r="D159" s="231">
        <f>+Previsão!L96</f>
        <v>0</v>
      </c>
      <c r="E159" s="249">
        <f t="shared" si="18"/>
        <v>0</v>
      </c>
      <c r="F159" s="30"/>
      <c r="H159" s="233" t="e">
        <f t="shared" si="19"/>
        <v>#DIV/0!</v>
      </c>
    </row>
    <row r="160" spans="1:8" x14ac:dyDescent="0.3">
      <c r="A160" s="30"/>
      <c r="B160" s="79" t="str">
        <f>+Codigo!$C$59</f>
        <v>Serviços Financeiros</v>
      </c>
      <c r="C160" s="231">
        <f>+Real!L97</f>
        <v>0</v>
      </c>
      <c r="D160" s="231">
        <f>+Previsão!L97</f>
        <v>0</v>
      </c>
      <c r="E160" s="249">
        <f t="shared" si="18"/>
        <v>0</v>
      </c>
      <c r="F160" s="30"/>
      <c r="H160" s="233" t="e">
        <f t="shared" si="19"/>
        <v>#DIV/0!</v>
      </c>
    </row>
    <row r="161" spans="1:8" ht="15.6" x14ac:dyDescent="0.3">
      <c r="A161" s="30"/>
      <c r="B161" s="80" t="s">
        <v>234</v>
      </c>
      <c r="C161" s="81">
        <f>+C149-C151</f>
        <v>0</v>
      </c>
      <c r="D161" s="81">
        <f>+D149-D151</f>
        <v>0</v>
      </c>
      <c r="E161" s="252">
        <f>+C161-D161</f>
        <v>0</v>
      </c>
      <c r="F161" s="30"/>
      <c r="H161" s="81"/>
    </row>
    <row r="163" spans="1:8" ht="25.8" x14ac:dyDescent="0.5">
      <c r="A163" s="135"/>
      <c r="B163" s="126" t="s">
        <v>264</v>
      </c>
      <c r="C163" s="136"/>
      <c r="D163" s="137" t="s">
        <v>63</v>
      </c>
      <c r="E163" s="229" t="s">
        <v>61</v>
      </c>
      <c r="F163" s="110"/>
    </row>
    <row r="164" spans="1:8" ht="15.6" x14ac:dyDescent="0.3">
      <c r="A164" s="24"/>
      <c r="B164" s="83" t="s">
        <v>236</v>
      </c>
      <c r="C164" s="23" t="s">
        <v>65</v>
      </c>
      <c r="D164" s="23" t="s">
        <v>64</v>
      </c>
      <c r="E164" s="23" t="s">
        <v>233</v>
      </c>
      <c r="F164" s="24"/>
      <c r="H164" s="284" t="s">
        <v>362</v>
      </c>
    </row>
    <row r="165" spans="1:8" x14ac:dyDescent="0.3">
      <c r="A165" s="30"/>
      <c r="B165" s="45" t="str">
        <f>+Codigo!$C$4</f>
        <v>Receita</v>
      </c>
      <c r="C165" s="231">
        <f>+Real!M86</f>
        <v>0</v>
      </c>
      <c r="D165" s="231">
        <f>+Previsão!M86</f>
        <v>0</v>
      </c>
      <c r="E165" s="249">
        <f>+C165-D165</f>
        <v>0</v>
      </c>
      <c r="F165" s="30"/>
      <c r="H165" s="284"/>
    </row>
    <row r="166" spans="1:8" x14ac:dyDescent="0.3">
      <c r="A166" s="30"/>
      <c r="B166" s="46"/>
      <c r="C166" s="129"/>
      <c r="D166" s="129"/>
      <c r="E166" s="250"/>
      <c r="F166" s="129"/>
      <c r="H166" s="248" t="s">
        <v>412</v>
      </c>
    </row>
    <row r="167" spans="1:8" x14ac:dyDescent="0.3">
      <c r="A167" s="30"/>
      <c r="B167" s="91" t="s">
        <v>235</v>
      </c>
      <c r="C167" s="130">
        <f>SUM(C168:C176)</f>
        <v>0</v>
      </c>
      <c r="D167" s="130">
        <f>SUM(D168:D176)</f>
        <v>0</v>
      </c>
      <c r="E167" s="251">
        <f>+D167-C167</f>
        <v>0</v>
      </c>
      <c r="F167" s="30"/>
      <c r="H167" s="247" t="e">
        <f>+C167/$C$165</f>
        <v>#DIV/0!</v>
      </c>
    </row>
    <row r="168" spans="1:8" x14ac:dyDescent="0.3">
      <c r="A168" s="30"/>
      <c r="B168" s="37" t="str">
        <f>+Codigo!$C$10</f>
        <v>Alimentação</v>
      </c>
      <c r="C168" s="231">
        <f>+Real!M89</f>
        <v>0</v>
      </c>
      <c r="D168" s="231">
        <f>+Previsão!M89</f>
        <v>0</v>
      </c>
      <c r="E168" s="249">
        <f>+D168-C168</f>
        <v>0</v>
      </c>
      <c r="F168" s="30"/>
      <c r="H168" s="233" t="e">
        <f>+C168/$C$165</f>
        <v>#DIV/0!</v>
      </c>
    </row>
    <row r="169" spans="1:8" x14ac:dyDescent="0.3">
      <c r="A169" s="30"/>
      <c r="B169" s="37" t="str">
        <f>+Codigo!$C$15</f>
        <v>Moradia</v>
      </c>
      <c r="C169" s="231">
        <f>+Real!M90</f>
        <v>0</v>
      </c>
      <c r="D169" s="231">
        <f>+Previsão!M90</f>
        <v>0</v>
      </c>
      <c r="E169" s="249">
        <f t="shared" ref="E169:E176" si="20">+D169-C169</f>
        <v>0</v>
      </c>
      <c r="F169" s="30"/>
      <c r="H169" s="233" t="e">
        <f t="shared" ref="H169:H176" si="21">+C169/$C$165</f>
        <v>#DIV/0!</v>
      </c>
    </row>
    <row r="170" spans="1:8" x14ac:dyDescent="0.3">
      <c r="A170" s="30"/>
      <c r="B170" s="37" t="str">
        <f>+Codigo!$C$27</f>
        <v>Educação</v>
      </c>
      <c r="C170" s="231">
        <f>+Real!M91</f>
        <v>0</v>
      </c>
      <c r="D170" s="231">
        <f>+Previsão!M91</f>
        <v>0</v>
      </c>
      <c r="E170" s="249">
        <f t="shared" si="20"/>
        <v>0</v>
      </c>
      <c r="F170" s="30"/>
      <c r="H170" s="233" t="e">
        <f t="shared" si="21"/>
        <v>#DIV/0!</v>
      </c>
    </row>
    <row r="171" spans="1:8" x14ac:dyDescent="0.3">
      <c r="A171" s="30"/>
      <c r="B171" s="37" t="str">
        <f>+Codigo!$C$31</f>
        <v>Animal de Estimação</v>
      </c>
      <c r="C171" s="231">
        <f>+Real!M92</f>
        <v>0</v>
      </c>
      <c r="D171" s="231">
        <f>+Previsão!M92</f>
        <v>0</v>
      </c>
      <c r="E171" s="249">
        <f t="shared" si="20"/>
        <v>0</v>
      </c>
      <c r="F171" s="30"/>
      <c r="H171" s="233" t="e">
        <f t="shared" si="21"/>
        <v>#DIV/0!</v>
      </c>
    </row>
    <row r="172" spans="1:8" x14ac:dyDescent="0.3">
      <c r="A172" s="30"/>
      <c r="B172" s="37" t="str">
        <f>+Codigo!$C$35</f>
        <v>Saúde</v>
      </c>
      <c r="C172" s="231">
        <f>+Real!M93</f>
        <v>0</v>
      </c>
      <c r="D172" s="231">
        <f>+Previsão!M93</f>
        <v>0</v>
      </c>
      <c r="E172" s="249">
        <f t="shared" si="20"/>
        <v>0</v>
      </c>
      <c r="F172" s="30"/>
      <c r="H172" s="233" t="e">
        <f t="shared" si="21"/>
        <v>#DIV/0!</v>
      </c>
    </row>
    <row r="173" spans="1:8" x14ac:dyDescent="0.3">
      <c r="A173" s="30"/>
      <c r="B173" s="37" t="str">
        <f>+Codigo!$C$41</f>
        <v>Transporte</v>
      </c>
      <c r="C173" s="231">
        <f>+Real!M94</f>
        <v>0</v>
      </c>
      <c r="D173" s="231">
        <f>+Previsão!M94</f>
        <v>0</v>
      </c>
      <c r="E173" s="249">
        <f t="shared" si="20"/>
        <v>0</v>
      </c>
      <c r="F173" s="30"/>
      <c r="H173" s="233" t="e">
        <f t="shared" si="21"/>
        <v>#DIV/0!</v>
      </c>
    </row>
    <row r="174" spans="1:8" x14ac:dyDescent="0.3">
      <c r="A174" s="30"/>
      <c r="B174" s="37" t="str">
        <f>+Codigo!$C$50</f>
        <v>Pessoais</v>
      </c>
      <c r="C174" s="231">
        <f>+Real!M95</f>
        <v>0</v>
      </c>
      <c r="D174" s="231">
        <f>+Previsão!M95</f>
        <v>0</v>
      </c>
      <c r="E174" s="249">
        <f t="shared" si="20"/>
        <v>0</v>
      </c>
      <c r="F174" s="30"/>
      <c r="H174" s="233" t="e">
        <f t="shared" si="21"/>
        <v>#DIV/0!</v>
      </c>
    </row>
    <row r="175" spans="1:8" x14ac:dyDescent="0.3">
      <c r="A175" s="30"/>
      <c r="B175" s="37" t="str">
        <f>+Codigo!$C$54</f>
        <v>Lazer</v>
      </c>
      <c r="C175" s="231">
        <f>+Real!M96</f>
        <v>0</v>
      </c>
      <c r="D175" s="231">
        <f>+Previsão!M96</f>
        <v>0</v>
      </c>
      <c r="E175" s="249">
        <f t="shared" si="20"/>
        <v>0</v>
      </c>
      <c r="F175" s="30"/>
      <c r="H175" s="233" t="e">
        <f t="shared" si="21"/>
        <v>#DIV/0!</v>
      </c>
    </row>
    <row r="176" spans="1:8" x14ac:dyDescent="0.3">
      <c r="A176" s="30"/>
      <c r="B176" s="79" t="str">
        <f>+Codigo!$C$59</f>
        <v>Serviços Financeiros</v>
      </c>
      <c r="C176" s="231">
        <f>+Real!M97</f>
        <v>0</v>
      </c>
      <c r="D176" s="231">
        <f>+Previsão!M97</f>
        <v>0</v>
      </c>
      <c r="E176" s="249">
        <f t="shared" si="20"/>
        <v>0</v>
      </c>
      <c r="F176" s="30"/>
      <c r="H176" s="233" t="e">
        <f t="shared" si="21"/>
        <v>#DIV/0!</v>
      </c>
    </row>
    <row r="177" spans="1:8" ht="15.6" x14ac:dyDescent="0.3">
      <c r="A177" s="30"/>
      <c r="B177" s="80" t="s">
        <v>234</v>
      </c>
      <c r="C177" s="81">
        <f>+C165-C167</f>
        <v>0</v>
      </c>
      <c r="D177" s="81">
        <f>+D165-D167</f>
        <v>0</v>
      </c>
      <c r="E177" s="252">
        <f>+C177-D177</f>
        <v>0</v>
      </c>
      <c r="F177" s="30"/>
      <c r="H177" s="81"/>
    </row>
    <row r="179" spans="1:8" ht="25.8" x14ac:dyDescent="0.5">
      <c r="A179" s="135"/>
      <c r="B179" s="126" t="s">
        <v>264</v>
      </c>
      <c r="C179" s="136"/>
      <c r="D179" s="137" t="s">
        <v>63</v>
      </c>
      <c r="E179" s="229" t="s">
        <v>62</v>
      </c>
      <c r="F179" s="110"/>
    </row>
    <row r="180" spans="1:8" ht="15.6" x14ac:dyDescent="0.3">
      <c r="A180" s="24"/>
      <c r="B180" s="83" t="s">
        <v>236</v>
      </c>
      <c r="C180" s="23" t="s">
        <v>65</v>
      </c>
      <c r="D180" s="23" t="s">
        <v>64</v>
      </c>
      <c r="E180" s="23" t="s">
        <v>233</v>
      </c>
      <c r="F180" s="24"/>
      <c r="H180" s="284" t="s">
        <v>362</v>
      </c>
    </row>
    <row r="181" spans="1:8" x14ac:dyDescent="0.3">
      <c r="A181" s="30"/>
      <c r="B181" s="45" t="str">
        <f>+Codigo!$C$4</f>
        <v>Receita</v>
      </c>
      <c r="C181" s="231">
        <f>+Real!N86</f>
        <v>750</v>
      </c>
      <c r="D181" s="231">
        <f>+Previsão!N86</f>
        <v>0</v>
      </c>
      <c r="E181" s="249">
        <f>+C181-D181</f>
        <v>750</v>
      </c>
      <c r="F181" s="30"/>
      <c r="H181" s="284"/>
    </row>
    <row r="182" spans="1:8" x14ac:dyDescent="0.3">
      <c r="A182" s="30"/>
      <c r="B182" s="46"/>
      <c r="C182" s="129"/>
      <c r="D182" s="129"/>
      <c r="E182" s="250"/>
      <c r="F182" s="129"/>
      <c r="H182" s="248" t="s">
        <v>412</v>
      </c>
    </row>
    <row r="183" spans="1:8" x14ac:dyDescent="0.3">
      <c r="A183" s="30"/>
      <c r="B183" s="91" t="s">
        <v>235</v>
      </c>
      <c r="C183" s="130">
        <f>SUM(C184:C192)</f>
        <v>15</v>
      </c>
      <c r="D183" s="130">
        <f>SUM(D184:D192)</f>
        <v>0</v>
      </c>
      <c r="E183" s="251">
        <f>+D183-C183</f>
        <v>-15</v>
      </c>
      <c r="F183" s="30"/>
      <c r="H183" s="247">
        <f>+C183/$C$181</f>
        <v>0.02</v>
      </c>
    </row>
    <row r="184" spans="1:8" x14ac:dyDescent="0.3">
      <c r="A184" s="30"/>
      <c r="B184" s="37" t="str">
        <f>+Codigo!$C$10</f>
        <v>Alimentação</v>
      </c>
      <c r="C184" s="231">
        <f>+Real!N89</f>
        <v>0</v>
      </c>
      <c r="D184" s="231">
        <f>+Previsão!N89</f>
        <v>0</v>
      </c>
      <c r="E184" s="249">
        <f>+D184-C184</f>
        <v>0</v>
      </c>
      <c r="F184" s="30"/>
      <c r="H184" s="233">
        <f>+C184/$C$183</f>
        <v>0</v>
      </c>
    </row>
    <row r="185" spans="1:8" x14ac:dyDescent="0.3">
      <c r="A185" s="30"/>
      <c r="B185" s="37" t="str">
        <f>+Codigo!$C$15</f>
        <v>Moradia</v>
      </c>
      <c r="C185" s="231">
        <f>+Real!N90</f>
        <v>0</v>
      </c>
      <c r="D185" s="231">
        <f>+Previsão!N90</f>
        <v>0</v>
      </c>
      <c r="E185" s="249">
        <f t="shared" ref="E185:E192" si="22">+D185-C185</f>
        <v>0</v>
      </c>
      <c r="F185" s="30"/>
      <c r="H185" s="233">
        <f t="shared" ref="H185:H192" si="23">+C185/$C$183</f>
        <v>0</v>
      </c>
    </row>
    <row r="186" spans="1:8" x14ac:dyDescent="0.3">
      <c r="A186" s="30"/>
      <c r="B186" s="37" t="str">
        <f>+Codigo!$C$27</f>
        <v>Educação</v>
      </c>
      <c r="C186" s="231">
        <f>+Real!N91</f>
        <v>0</v>
      </c>
      <c r="D186" s="231">
        <f>+Previsão!N91</f>
        <v>0</v>
      </c>
      <c r="E186" s="249">
        <f t="shared" si="22"/>
        <v>0</v>
      </c>
      <c r="F186" s="30"/>
      <c r="H186" s="233">
        <f t="shared" si="23"/>
        <v>0</v>
      </c>
    </row>
    <row r="187" spans="1:8" x14ac:dyDescent="0.3">
      <c r="A187" s="30"/>
      <c r="B187" s="37" t="str">
        <f>+Codigo!$C$31</f>
        <v>Animal de Estimação</v>
      </c>
      <c r="C187" s="231">
        <f>+Real!N92</f>
        <v>0</v>
      </c>
      <c r="D187" s="231">
        <f>+Previsão!N92</f>
        <v>0</v>
      </c>
      <c r="E187" s="249">
        <f t="shared" si="22"/>
        <v>0</v>
      </c>
      <c r="F187" s="30"/>
      <c r="H187" s="233">
        <f t="shared" si="23"/>
        <v>0</v>
      </c>
    </row>
    <row r="188" spans="1:8" x14ac:dyDescent="0.3">
      <c r="A188" s="30"/>
      <c r="B188" s="37" t="str">
        <f>+Codigo!$C$35</f>
        <v>Saúde</v>
      </c>
      <c r="C188" s="231">
        <f>+Real!N93</f>
        <v>0</v>
      </c>
      <c r="D188" s="231">
        <f>+Previsão!N93</f>
        <v>0</v>
      </c>
      <c r="E188" s="249">
        <f t="shared" si="22"/>
        <v>0</v>
      </c>
      <c r="F188" s="30"/>
      <c r="H188" s="233">
        <f t="shared" si="23"/>
        <v>0</v>
      </c>
    </row>
    <row r="189" spans="1:8" x14ac:dyDescent="0.3">
      <c r="A189" s="30"/>
      <c r="B189" s="37" t="str">
        <f>+Codigo!$C$41</f>
        <v>Transporte</v>
      </c>
      <c r="C189" s="231">
        <f>+Real!N94</f>
        <v>0</v>
      </c>
      <c r="D189" s="231">
        <f>+Previsão!N94</f>
        <v>0</v>
      </c>
      <c r="E189" s="249">
        <f t="shared" si="22"/>
        <v>0</v>
      </c>
      <c r="F189" s="30"/>
      <c r="H189" s="233">
        <f t="shared" si="23"/>
        <v>0</v>
      </c>
    </row>
    <row r="190" spans="1:8" x14ac:dyDescent="0.3">
      <c r="A190" s="30"/>
      <c r="B190" s="37" t="str">
        <f>+Codigo!$C$50</f>
        <v>Pessoais</v>
      </c>
      <c r="C190" s="231">
        <f>+Real!N95</f>
        <v>15</v>
      </c>
      <c r="D190" s="231">
        <f>+Previsão!N95</f>
        <v>0</v>
      </c>
      <c r="E190" s="249">
        <f t="shared" si="22"/>
        <v>-15</v>
      </c>
      <c r="F190" s="30"/>
      <c r="H190" s="233">
        <f t="shared" si="23"/>
        <v>1</v>
      </c>
    </row>
    <row r="191" spans="1:8" x14ac:dyDescent="0.3">
      <c r="A191" s="30"/>
      <c r="B191" s="37" t="str">
        <f>+Codigo!$C$54</f>
        <v>Lazer</v>
      </c>
      <c r="C191" s="231">
        <f>+Real!N96</f>
        <v>0</v>
      </c>
      <c r="D191" s="231">
        <f>+Previsão!N96</f>
        <v>0</v>
      </c>
      <c r="E191" s="249">
        <f t="shared" si="22"/>
        <v>0</v>
      </c>
      <c r="F191" s="30"/>
      <c r="H191" s="233">
        <f t="shared" si="23"/>
        <v>0</v>
      </c>
    </row>
    <row r="192" spans="1:8" x14ac:dyDescent="0.3">
      <c r="A192" s="30"/>
      <c r="B192" s="79" t="str">
        <f>+Codigo!$C$59</f>
        <v>Serviços Financeiros</v>
      </c>
      <c r="C192" s="231">
        <f>+Real!N97</f>
        <v>0</v>
      </c>
      <c r="D192" s="231">
        <f>+Previsão!N97</f>
        <v>0</v>
      </c>
      <c r="E192" s="249">
        <f t="shared" si="22"/>
        <v>0</v>
      </c>
      <c r="F192" s="30"/>
      <c r="H192" s="233">
        <f t="shared" si="23"/>
        <v>0</v>
      </c>
    </row>
    <row r="193" spans="1:8" ht="15.6" x14ac:dyDescent="0.3">
      <c r="A193" s="30"/>
      <c r="B193" s="80" t="s">
        <v>234</v>
      </c>
      <c r="C193" s="81">
        <f>+C181-C183</f>
        <v>735</v>
      </c>
      <c r="D193" s="81">
        <f>+D181-D183</f>
        <v>0</v>
      </c>
      <c r="E193" s="252">
        <f>+C193-D193</f>
        <v>735</v>
      </c>
      <c r="F193" s="30"/>
      <c r="H193" s="81"/>
    </row>
  </sheetData>
  <sheetProtection selectLockedCells="1" selectUnlockedCells="1"/>
  <mergeCells count="13">
    <mergeCell ref="H180:H181"/>
    <mergeCell ref="H84:H85"/>
    <mergeCell ref="H100:H101"/>
    <mergeCell ref="H116:H117"/>
    <mergeCell ref="H132:H133"/>
    <mergeCell ref="H148:H149"/>
    <mergeCell ref="H164:H165"/>
    <mergeCell ref="H68:H69"/>
    <mergeCell ref="B1:E1"/>
    <mergeCell ref="H4:H5"/>
    <mergeCell ref="H20:H21"/>
    <mergeCell ref="H36:H37"/>
    <mergeCell ref="H52:H53"/>
  </mergeCells>
  <phoneticPr fontId="18" type="noConversion"/>
  <pageMargins left="0.19685039370078741" right="0.19685039370078741" top="0.31496062992125984" bottom="0.31496062992125984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8">
    <pageSetUpPr fitToPage="1"/>
  </sheetPr>
  <dimension ref="A1:V18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4" sqref="E4"/>
    </sheetView>
  </sheetViews>
  <sheetFormatPr defaultColWidth="9.109375" defaultRowHeight="14.4" x14ac:dyDescent="0.3"/>
  <cols>
    <col min="1" max="1" width="0.88671875" customWidth="1"/>
    <col min="2" max="2" width="10.5546875" style="17" customWidth="1"/>
    <col min="3" max="3" width="5.6640625" style="75" customWidth="1"/>
    <col min="4" max="4" width="9.109375" customWidth="1"/>
    <col min="5" max="5" width="41.88671875" customWidth="1"/>
    <col min="6" max="6" width="11.109375" customWidth="1"/>
    <col min="7" max="7" width="11" customWidth="1"/>
    <col min="8" max="8" width="11" style="17" customWidth="1"/>
    <col min="9" max="21" width="9.6640625" customWidth="1"/>
    <col min="22" max="22" width="10.5546875" customWidth="1"/>
    <col min="23" max="35" width="9.6640625" customWidth="1"/>
    <col min="36" max="52" width="9.88671875" customWidth="1"/>
  </cols>
  <sheetData>
    <row r="1" spans="2:22" ht="63.75" customHeight="1" x14ac:dyDescent="0.5">
      <c r="B1" s="77"/>
      <c r="C1" s="78"/>
      <c r="D1" s="17"/>
      <c r="E1" s="17"/>
      <c r="F1" s="17"/>
      <c r="G1" s="17"/>
      <c r="H1" s="63"/>
      <c r="I1" s="63"/>
    </row>
    <row r="2" spans="2:22" ht="24" customHeight="1" x14ac:dyDescent="0.3">
      <c r="B2" s="223" t="s">
        <v>319</v>
      </c>
      <c r="C2" s="78"/>
      <c r="D2" s="17"/>
      <c r="E2" s="17"/>
      <c r="F2" s="17"/>
      <c r="G2" s="17"/>
      <c r="H2" s="63"/>
      <c r="I2" s="63"/>
    </row>
    <row r="3" spans="2:22" s="222" customFormat="1" ht="24.75" customHeight="1" x14ac:dyDescent="0.45">
      <c r="C3" s="219"/>
      <c r="D3" s="218"/>
      <c r="E3" s="221">
        <v>2026</v>
      </c>
      <c r="F3" s="220"/>
      <c r="H3" s="218"/>
      <c r="I3" s="218"/>
      <c r="J3" s="221"/>
    </row>
    <row r="4" spans="2:22" ht="15.75" customHeight="1" x14ac:dyDescent="0.35">
      <c r="B4" s="61" t="s">
        <v>150</v>
      </c>
      <c r="C4" s="54"/>
      <c r="D4" s="55"/>
      <c r="E4" s="56"/>
      <c r="F4" s="155" t="s">
        <v>333</v>
      </c>
      <c r="G4" s="155" t="s">
        <v>298</v>
      </c>
      <c r="H4" s="156" t="s">
        <v>299</v>
      </c>
      <c r="I4" s="155" t="s">
        <v>298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</row>
    <row r="5" spans="2:22" ht="18.75" customHeight="1" x14ac:dyDescent="0.35">
      <c r="B5" s="55"/>
      <c r="C5" s="54" t="s">
        <v>77</v>
      </c>
      <c r="D5" s="55" t="s">
        <v>72</v>
      </c>
      <c r="E5" s="56" t="s">
        <v>81</v>
      </c>
      <c r="F5" s="155" t="s">
        <v>334</v>
      </c>
      <c r="G5" s="155" t="s">
        <v>295</v>
      </c>
      <c r="H5" s="156" t="s">
        <v>300</v>
      </c>
      <c r="I5" s="155" t="s">
        <v>301</v>
      </c>
      <c r="J5" s="57" t="s">
        <v>262</v>
      </c>
      <c r="K5" s="57" t="s">
        <v>281</v>
      </c>
      <c r="L5" s="57" t="s">
        <v>282</v>
      </c>
      <c r="M5" s="57" t="s">
        <v>283</v>
      </c>
      <c r="N5" s="57" t="s">
        <v>284</v>
      </c>
      <c r="O5" s="57" t="s">
        <v>285</v>
      </c>
      <c r="P5" s="57" t="s">
        <v>286</v>
      </c>
      <c r="Q5" s="57" t="s">
        <v>287</v>
      </c>
      <c r="R5" s="57" t="s">
        <v>288</v>
      </c>
      <c r="S5" s="57" t="s">
        <v>289</v>
      </c>
      <c r="T5" s="57" t="s">
        <v>290</v>
      </c>
      <c r="U5" s="57" t="s">
        <v>291</v>
      </c>
      <c r="V5" s="57" t="s">
        <v>295</v>
      </c>
    </row>
    <row r="6" spans="2:22" x14ac:dyDescent="0.3">
      <c r="B6" s="29" t="str">
        <f>IF(IF(ISERROR(VLOOKUP(C6,Codigo!$B$4:$C$67,2,FALSE)),"",VLOOKUP(C6,Codigo!$B$4:$C$67,2,FALSE))=C6,"",VLOOKUP(C6,(Codigo!$B$4:$C$67),2,FALSE))</f>
        <v>Pessoais</v>
      </c>
      <c r="C6" s="59" t="s">
        <v>130</v>
      </c>
      <c r="D6" s="60">
        <v>41265</v>
      </c>
      <c r="E6" s="28" t="s">
        <v>292</v>
      </c>
      <c r="F6" s="158" t="s">
        <v>296</v>
      </c>
      <c r="G6" s="158">
        <v>40</v>
      </c>
      <c r="H6" s="226">
        <v>2</v>
      </c>
      <c r="I6" s="235">
        <f>+G6/H6</f>
        <v>20</v>
      </c>
      <c r="J6" s="33">
        <v>20</v>
      </c>
      <c r="K6" s="138">
        <v>20</v>
      </c>
      <c r="L6" s="33"/>
      <c r="M6" s="138"/>
      <c r="N6" s="33"/>
      <c r="O6" s="138"/>
      <c r="P6" s="33"/>
      <c r="Q6" s="138"/>
      <c r="R6" s="33"/>
      <c r="S6" s="138"/>
      <c r="T6" s="33"/>
      <c r="U6" s="138"/>
      <c r="V6" s="151">
        <f t="shared" ref="V6:V39" si="0">+SUM(J6:U6)</f>
        <v>40</v>
      </c>
    </row>
    <row r="7" spans="2:22" x14ac:dyDescent="0.3">
      <c r="B7" s="29" t="str">
        <f>IF(IF(ISERROR(VLOOKUP(C7,Codigo!$B$4:$C$67,2,FALSE)),"",VLOOKUP(C7,Codigo!$B$4:$C$67,2,FALSE))=C7,"",VLOOKUP(C7,(Codigo!$B$4:$C$67),2,FALSE))</f>
        <v>Pessoais</v>
      </c>
      <c r="C7" s="59" t="s">
        <v>131</v>
      </c>
      <c r="D7" s="60">
        <v>41267</v>
      </c>
      <c r="E7" s="28" t="s">
        <v>302</v>
      </c>
      <c r="F7" s="158" t="s">
        <v>296</v>
      </c>
      <c r="G7" s="158">
        <v>2000</v>
      </c>
      <c r="H7" s="226">
        <v>10</v>
      </c>
      <c r="I7" s="235">
        <f>+G7/H7</f>
        <v>200</v>
      </c>
      <c r="J7" s="33">
        <v>200</v>
      </c>
      <c r="K7" s="33">
        <v>200</v>
      </c>
      <c r="L7" s="33">
        <v>200</v>
      </c>
      <c r="M7" s="33">
        <v>200</v>
      </c>
      <c r="N7" s="33">
        <v>200</v>
      </c>
      <c r="O7" s="33">
        <v>200</v>
      </c>
      <c r="P7" s="33">
        <v>200</v>
      </c>
      <c r="Q7" s="33">
        <v>200</v>
      </c>
      <c r="R7" s="33">
        <v>200</v>
      </c>
      <c r="S7" s="33">
        <v>200</v>
      </c>
      <c r="T7" s="33"/>
      <c r="U7" s="138"/>
      <c r="V7" s="151">
        <f>+SUM(J7:U7)</f>
        <v>2000</v>
      </c>
    </row>
    <row r="8" spans="2:22" x14ac:dyDescent="0.3">
      <c r="B8" s="29" t="str">
        <f>IF(IF(ISERROR(VLOOKUP(C8,Codigo!$B$4:$C$67,2,FALSE)),"",VLOOKUP(C8,Codigo!$B$4:$C$67,2,FALSE))=C8,"",VLOOKUP(C8,(Codigo!$B$4:$C$67),2,FALSE))</f>
        <v>Pessoais</v>
      </c>
      <c r="C8" s="59" t="s">
        <v>131</v>
      </c>
      <c r="D8" s="60">
        <v>40923</v>
      </c>
      <c r="E8" s="28" t="s">
        <v>293</v>
      </c>
      <c r="F8" s="158" t="s">
        <v>296</v>
      </c>
      <c r="G8" s="158">
        <v>250</v>
      </c>
      <c r="H8" s="226">
        <v>5</v>
      </c>
      <c r="I8" s="235"/>
      <c r="J8" s="236"/>
      <c r="K8" s="33">
        <v>50</v>
      </c>
      <c r="L8" s="33">
        <v>50</v>
      </c>
      <c r="M8" s="33">
        <v>50</v>
      </c>
      <c r="N8" s="33">
        <v>50</v>
      </c>
      <c r="O8" s="33">
        <v>50</v>
      </c>
      <c r="P8" s="33"/>
      <c r="Q8" s="138"/>
      <c r="R8" s="33"/>
      <c r="S8" s="138"/>
      <c r="T8" s="33"/>
      <c r="U8" s="138"/>
      <c r="V8" s="151">
        <f t="shared" si="0"/>
        <v>250</v>
      </c>
    </row>
    <row r="9" spans="2:22" x14ac:dyDescent="0.3">
      <c r="B9" s="29" t="str">
        <f>IF(IF(ISERROR(VLOOKUP(C9,Codigo!$B$4:$C$67,2,FALSE)),"",VLOOKUP(C9,Codigo!$B$4:$C$67,2,FALSE))=C9,"",VLOOKUP(C9,(Codigo!$B$4:$C$67),2,FALSE))</f>
        <v>Pessoais</v>
      </c>
      <c r="C9" s="59" t="s">
        <v>276</v>
      </c>
      <c r="D9" s="60">
        <v>40933</v>
      </c>
      <c r="E9" s="28" t="s">
        <v>220</v>
      </c>
      <c r="F9" s="158" t="s">
        <v>296</v>
      </c>
      <c r="G9" s="158">
        <v>315</v>
      </c>
      <c r="H9" s="226">
        <v>2</v>
      </c>
      <c r="I9" s="235">
        <f>+G9/H9</f>
        <v>157.5</v>
      </c>
      <c r="J9" s="236"/>
      <c r="K9" s="33">
        <v>157.5</v>
      </c>
      <c r="L9" s="33">
        <v>157.5</v>
      </c>
      <c r="M9" s="138"/>
      <c r="N9" s="33"/>
      <c r="O9" s="138"/>
      <c r="P9" s="33"/>
      <c r="Q9" s="138"/>
      <c r="R9" s="33"/>
      <c r="S9" s="138"/>
      <c r="T9" s="33"/>
      <c r="U9" s="138"/>
      <c r="V9" s="151">
        <f t="shared" si="0"/>
        <v>315</v>
      </c>
    </row>
    <row r="10" spans="2:22" x14ac:dyDescent="0.3">
      <c r="B10" s="29" t="str">
        <f>IF(IF(ISERROR(VLOOKUP(C10,Codigo!$B$4:$C$67,2,FALSE)),"",VLOOKUP(C10,Codigo!$B$4:$C$67,2,FALSE))=C10,"",VLOOKUP(C10,(Codigo!$B$4:$C$67),2,FALSE))</f>
        <v>Educação</v>
      </c>
      <c r="C10" s="59" t="s">
        <v>106</v>
      </c>
      <c r="D10" s="60">
        <v>40954</v>
      </c>
      <c r="E10" s="28" t="s">
        <v>294</v>
      </c>
      <c r="F10" s="158" t="s">
        <v>296</v>
      </c>
      <c r="G10" s="158">
        <v>340</v>
      </c>
      <c r="H10" s="226">
        <v>4</v>
      </c>
      <c r="I10" s="235">
        <f>+G10/H10</f>
        <v>85</v>
      </c>
      <c r="J10" s="236"/>
      <c r="K10" s="235"/>
      <c r="L10" s="33">
        <v>85</v>
      </c>
      <c r="M10" s="33">
        <v>85</v>
      </c>
      <c r="N10" s="33">
        <v>85</v>
      </c>
      <c r="O10" s="33">
        <v>85</v>
      </c>
      <c r="P10" s="33"/>
      <c r="Q10" s="138"/>
      <c r="R10" s="33"/>
      <c r="S10" s="138"/>
      <c r="T10" s="33"/>
      <c r="U10" s="138"/>
      <c r="V10" s="151">
        <f t="shared" si="0"/>
        <v>340</v>
      </c>
    </row>
    <row r="11" spans="2:22" x14ac:dyDescent="0.3">
      <c r="B11" s="29" t="str">
        <f>IF(IF(ISERROR(VLOOKUP(C11,Codigo!$B$4:$C$67,2,FALSE)),"",VLOOKUP(C11,Codigo!$B$4:$C$67,2,FALSE))=C11,"",VLOOKUP(C11,(Codigo!$B$4:$C$67),2,FALSE))</f>
        <v/>
      </c>
      <c r="C11" s="59"/>
      <c r="D11" s="60"/>
      <c r="E11" s="28"/>
      <c r="F11" s="158"/>
      <c r="G11" s="158"/>
      <c r="H11" s="226"/>
      <c r="I11" s="235"/>
      <c r="J11" s="33"/>
      <c r="K11" s="138"/>
      <c r="L11" s="33"/>
      <c r="M11" s="138"/>
      <c r="N11" s="33"/>
      <c r="O11" s="138"/>
      <c r="P11" s="33"/>
      <c r="Q11" s="138"/>
      <c r="R11" s="33"/>
      <c r="S11" s="138"/>
      <c r="T11" s="33"/>
      <c r="U11" s="138"/>
      <c r="V11" s="151">
        <f t="shared" si="0"/>
        <v>0</v>
      </c>
    </row>
    <row r="12" spans="2:22" x14ac:dyDescent="0.3">
      <c r="B12" s="29" t="str">
        <f>IF(IF(ISERROR(VLOOKUP(C12,Codigo!$B$4:$C$67,2,FALSE)),"",VLOOKUP(C12,Codigo!$B$4:$C$67,2,FALSE))=C12,"",VLOOKUP(C12,(Codigo!$B$4:$C$67),2,FALSE))</f>
        <v/>
      </c>
      <c r="C12" s="59"/>
      <c r="D12" s="60"/>
      <c r="E12" s="28"/>
      <c r="F12" s="158"/>
      <c r="G12" s="158"/>
      <c r="H12" s="226"/>
      <c r="I12" s="235"/>
      <c r="J12" s="33"/>
      <c r="K12" s="138"/>
      <c r="L12" s="33"/>
      <c r="M12" s="138"/>
      <c r="N12" s="33"/>
      <c r="O12" s="138"/>
      <c r="P12" s="33"/>
      <c r="Q12" s="138"/>
      <c r="R12" s="33"/>
      <c r="S12" s="138"/>
      <c r="T12" s="33"/>
      <c r="U12" s="138"/>
      <c r="V12" s="151">
        <f t="shared" si="0"/>
        <v>0</v>
      </c>
    </row>
    <row r="13" spans="2:22" x14ac:dyDescent="0.3">
      <c r="B13" s="29" t="str">
        <f>IF(IF(ISERROR(VLOOKUP(C13,Codigo!$B$4:$C$67,2,FALSE)),"",VLOOKUP(C13,Codigo!$B$4:$C$67,2,FALSE))=C13,"",VLOOKUP(C13,(Codigo!$B$4:$C$67),2,FALSE))</f>
        <v/>
      </c>
      <c r="C13" s="59"/>
      <c r="D13" s="60"/>
      <c r="E13" s="28"/>
      <c r="F13" s="158"/>
      <c r="G13" s="158"/>
      <c r="H13" s="226"/>
      <c r="I13" s="235"/>
      <c r="J13" s="33"/>
      <c r="K13" s="138"/>
      <c r="L13" s="33"/>
      <c r="M13" s="138"/>
      <c r="N13" s="33"/>
      <c r="O13" s="138"/>
      <c r="P13" s="33"/>
      <c r="Q13" s="138"/>
      <c r="R13" s="33"/>
      <c r="S13" s="138"/>
      <c r="T13" s="33"/>
      <c r="U13" s="138"/>
      <c r="V13" s="151">
        <f t="shared" si="0"/>
        <v>0</v>
      </c>
    </row>
    <row r="14" spans="2:22" x14ac:dyDescent="0.3">
      <c r="B14" s="29" t="str">
        <f>IF(IF(ISERROR(VLOOKUP(C14,Codigo!$B$4:$C$67,2,FALSE)),"",VLOOKUP(C14,Codigo!$B$4:$C$67,2,FALSE))=C14,"",VLOOKUP(C14,(Codigo!$B$4:$C$67),2,FALSE))</f>
        <v/>
      </c>
      <c r="C14" s="59"/>
      <c r="D14" s="60"/>
      <c r="E14" s="28"/>
      <c r="F14" s="158"/>
      <c r="G14" s="158"/>
      <c r="H14" s="226"/>
      <c r="I14" s="235"/>
      <c r="J14" s="33"/>
      <c r="K14" s="138"/>
      <c r="L14" s="33"/>
      <c r="M14" s="138"/>
      <c r="N14" s="33"/>
      <c r="O14" s="138"/>
      <c r="P14" s="33"/>
      <c r="Q14" s="138"/>
      <c r="R14" s="33"/>
      <c r="S14" s="138"/>
      <c r="T14" s="33"/>
      <c r="U14" s="138"/>
      <c r="V14" s="151">
        <f t="shared" si="0"/>
        <v>0</v>
      </c>
    </row>
    <row r="15" spans="2:22" x14ac:dyDescent="0.3">
      <c r="B15" s="29" t="str">
        <f>IF(IF(ISERROR(VLOOKUP(C15,Codigo!$B$4:$C$67,2,FALSE)),"",VLOOKUP(C15,Codigo!$B$4:$C$67,2,FALSE))=C15,"",VLOOKUP(C15,(Codigo!$B$4:$C$67),2,FALSE))</f>
        <v/>
      </c>
      <c r="C15" s="59"/>
      <c r="D15" s="60"/>
      <c r="E15" s="28"/>
      <c r="F15" s="158"/>
      <c r="G15" s="158"/>
      <c r="H15" s="226"/>
      <c r="I15" s="235"/>
      <c r="J15" s="33"/>
      <c r="K15" s="138"/>
      <c r="L15" s="33"/>
      <c r="M15" s="138"/>
      <c r="N15" s="33"/>
      <c r="O15" s="138"/>
      <c r="P15" s="33"/>
      <c r="Q15" s="138"/>
      <c r="R15" s="33"/>
      <c r="S15" s="138"/>
      <c r="T15" s="33"/>
      <c r="U15" s="138"/>
      <c r="V15" s="151">
        <f t="shared" si="0"/>
        <v>0</v>
      </c>
    </row>
    <row r="16" spans="2:22" x14ac:dyDescent="0.3">
      <c r="B16" s="29" t="str">
        <f>IF(IF(ISERROR(VLOOKUP(C16,Codigo!$B$4:$C$67,2,FALSE)),"",VLOOKUP(C16,Codigo!$B$4:$C$67,2,FALSE))=C16,"",VLOOKUP(C16,(Codigo!$B$4:$C$67),2,FALSE))</f>
        <v/>
      </c>
      <c r="C16" s="59"/>
      <c r="D16" s="60"/>
      <c r="E16" s="28"/>
      <c r="F16" s="158"/>
      <c r="G16" s="158"/>
      <c r="H16" s="226"/>
      <c r="I16" s="235"/>
      <c r="J16" s="33"/>
      <c r="K16" s="138"/>
      <c r="L16" s="33"/>
      <c r="M16" s="138"/>
      <c r="N16" s="33"/>
      <c r="O16" s="138"/>
      <c r="P16" s="33"/>
      <c r="Q16" s="138"/>
      <c r="R16" s="33"/>
      <c r="S16" s="138"/>
      <c r="T16" s="33"/>
      <c r="U16" s="138"/>
      <c r="V16" s="151">
        <f t="shared" si="0"/>
        <v>0</v>
      </c>
    </row>
    <row r="17" spans="2:22" x14ac:dyDescent="0.3">
      <c r="B17" s="29" t="str">
        <f>IF(IF(ISERROR(VLOOKUP(C17,Codigo!$B$4:$C$67,2,FALSE)),"",VLOOKUP(C17,Codigo!$B$4:$C$67,2,FALSE))=C17,"",VLOOKUP(C17,(Codigo!$B$4:$C$67),2,FALSE))</f>
        <v/>
      </c>
      <c r="C17" s="59"/>
      <c r="D17" s="60"/>
      <c r="E17" s="28"/>
      <c r="F17" s="158"/>
      <c r="G17" s="158"/>
      <c r="H17" s="226"/>
      <c r="I17" s="235"/>
      <c r="J17" s="33"/>
      <c r="K17" s="138"/>
      <c r="L17" s="33"/>
      <c r="M17" s="138"/>
      <c r="N17" s="33"/>
      <c r="O17" s="138"/>
      <c r="P17" s="33"/>
      <c r="Q17" s="138"/>
      <c r="R17" s="33"/>
      <c r="S17" s="138"/>
      <c r="T17" s="33"/>
      <c r="U17" s="138"/>
      <c r="V17" s="151">
        <f t="shared" si="0"/>
        <v>0</v>
      </c>
    </row>
    <row r="18" spans="2:22" x14ac:dyDescent="0.3">
      <c r="B18" s="29" t="str">
        <f>IF(IF(ISERROR(VLOOKUP(C18,Codigo!$B$4:$C$67,2,FALSE)),"",VLOOKUP(C18,Codigo!$B$4:$C$67,2,FALSE))=C18,"",VLOOKUP(C18,(Codigo!$B$4:$C$67),2,FALSE))</f>
        <v/>
      </c>
      <c r="C18" s="59"/>
      <c r="D18" s="60"/>
      <c r="E18" s="28"/>
      <c r="F18" s="158"/>
      <c r="G18" s="158"/>
      <c r="H18" s="226"/>
      <c r="I18" s="235"/>
      <c r="J18" s="33"/>
      <c r="K18" s="138"/>
      <c r="L18" s="33"/>
      <c r="M18" s="138"/>
      <c r="N18" s="33"/>
      <c r="O18" s="138"/>
      <c r="P18" s="33"/>
      <c r="Q18" s="138"/>
      <c r="R18" s="33"/>
      <c r="S18" s="138"/>
      <c r="T18" s="33"/>
      <c r="U18" s="138"/>
      <c r="V18" s="151">
        <f t="shared" si="0"/>
        <v>0</v>
      </c>
    </row>
    <row r="19" spans="2:22" x14ac:dyDescent="0.3">
      <c r="B19" s="29" t="str">
        <f>IF(IF(ISERROR(VLOOKUP(C19,Codigo!$B$4:$C$67,2,FALSE)),"",VLOOKUP(C19,Codigo!$B$4:$C$67,2,FALSE))=C19,"",VLOOKUP(C19,(Codigo!$B$4:$C$67),2,FALSE))</f>
        <v/>
      </c>
      <c r="C19" s="59"/>
      <c r="D19" s="60"/>
      <c r="E19" s="28"/>
      <c r="F19" s="158"/>
      <c r="G19" s="158"/>
      <c r="H19" s="226"/>
      <c r="I19" s="235"/>
      <c r="J19" s="33"/>
      <c r="K19" s="138"/>
      <c r="L19" s="33"/>
      <c r="M19" s="138"/>
      <c r="N19" s="33"/>
      <c r="O19" s="138"/>
      <c r="P19" s="33"/>
      <c r="Q19" s="138"/>
      <c r="R19" s="33"/>
      <c r="S19" s="138"/>
      <c r="T19" s="33"/>
      <c r="U19" s="138"/>
      <c r="V19" s="151">
        <f t="shared" si="0"/>
        <v>0</v>
      </c>
    </row>
    <row r="20" spans="2:22" x14ac:dyDescent="0.3">
      <c r="B20" s="29" t="str">
        <f>IF(IF(ISERROR(VLOOKUP(C20,Codigo!$B$4:$C$67,2,FALSE)),"",VLOOKUP(C20,Codigo!$B$4:$C$67,2,FALSE))=C20,"",VLOOKUP(C20,(Codigo!$B$4:$C$67),2,FALSE))</f>
        <v/>
      </c>
      <c r="C20" s="59"/>
      <c r="D20" s="60"/>
      <c r="E20" s="28"/>
      <c r="F20" s="158"/>
      <c r="G20" s="158"/>
      <c r="H20" s="226"/>
      <c r="I20" s="235"/>
      <c r="J20" s="33"/>
      <c r="K20" s="138"/>
      <c r="L20" s="33"/>
      <c r="M20" s="138"/>
      <c r="N20" s="33"/>
      <c r="O20" s="138"/>
      <c r="P20" s="33"/>
      <c r="Q20" s="138"/>
      <c r="R20" s="33"/>
      <c r="S20" s="138"/>
      <c r="T20" s="33"/>
      <c r="U20" s="138"/>
      <c r="V20" s="151">
        <f t="shared" si="0"/>
        <v>0</v>
      </c>
    </row>
    <row r="21" spans="2:22" x14ac:dyDescent="0.3">
      <c r="B21" s="29" t="str">
        <f>IF(IF(ISERROR(VLOOKUP(C21,Codigo!$B$4:$C$67,2,FALSE)),"",VLOOKUP(C21,Codigo!$B$4:$C$67,2,FALSE))=C21,"",VLOOKUP(C21,(Codigo!$B$4:$C$67),2,FALSE))</f>
        <v/>
      </c>
      <c r="C21" s="59"/>
      <c r="D21" s="60"/>
      <c r="E21" s="28"/>
      <c r="F21" s="158"/>
      <c r="G21" s="158"/>
      <c r="H21" s="226"/>
      <c r="I21" s="235"/>
      <c r="J21" s="33"/>
      <c r="K21" s="138"/>
      <c r="L21" s="33"/>
      <c r="M21" s="138"/>
      <c r="N21" s="33"/>
      <c r="O21" s="138"/>
      <c r="P21" s="33"/>
      <c r="Q21" s="138"/>
      <c r="R21" s="33"/>
      <c r="S21" s="138"/>
      <c r="T21" s="33"/>
      <c r="U21" s="138"/>
      <c r="V21" s="151">
        <f t="shared" si="0"/>
        <v>0</v>
      </c>
    </row>
    <row r="22" spans="2:22" x14ac:dyDescent="0.3">
      <c r="B22" s="29" t="str">
        <f>IF(IF(ISERROR(VLOOKUP(C22,Codigo!$B$4:$C$67,2,FALSE)),"",VLOOKUP(C22,Codigo!$B$4:$C$67,2,FALSE))=C22,"",VLOOKUP(C22,(Codigo!$B$4:$C$67),2,FALSE))</f>
        <v/>
      </c>
      <c r="C22" s="59"/>
      <c r="D22" s="60"/>
      <c r="E22" s="28"/>
      <c r="F22" s="158"/>
      <c r="G22" s="158"/>
      <c r="H22" s="226"/>
      <c r="I22" s="235"/>
      <c r="J22" s="33"/>
      <c r="K22" s="138"/>
      <c r="L22" s="33"/>
      <c r="M22" s="138"/>
      <c r="N22" s="33"/>
      <c r="O22" s="138"/>
      <c r="P22" s="33"/>
      <c r="Q22" s="138"/>
      <c r="R22" s="33"/>
      <c r="S22" s="138"/>
      <c r="T22" s="33"/>
      <c r="U22" s="138"/>
      <c r="V22" s="151">
        <f t="shared" si="0"/>
        <v>0</v>
      </c>
    </row>
    <row r="23" spans="2:22" x14ac:dyDescent="0.3">
      <c r="B23" s="29" t="str">
        <f>IF(IF(ISERROR(VLOOKUP(C23,Codigo!$B$4:$C$67,2,FALSE)),"",VLOOKUP(C23,Codigo!$B$4:$C$67,2,FALSE))=C23,"",VLOOKUP(C23,(Codigo!$B$4:$C$67),2,FALSE))</f>
        <v/>
      </c>
      <c r="C23" s="59"/>
      <c r="D23" s="60"/>
      <c r="E23" s="28"/>
      <c r="F23" s="158"/>
      <c r="G23" s="158"/>
      <c r="H23" s="226"/>
      <c r="I23" s="235"/>
      <c r="J23" s="33"/>
      <c r="K23" s="138"/>
      <c r="L23" s="33"/>
      <c r="M23" s="138"/>
      <c r="N23" s="33"/>
      <c r="O23" s="138"/>
      <c r="P23" s="33"/>
      <c r="Q23" s="138"/>
      <c r="R23" s="33"/>
      <c r="S23" s="138"/>
      <c r="T23" s="33"/>
      <c r="U23" s="138"/>
      <c r="V23" s="151">
        <f t="shared" si="0"/>
        <v>0</v>
      </c>
    </row>
    <row r="24" spans="2:22" x14ac:dyDescent="0.3">
      <c r="B24" s="29" t="str">
        <f>IF(IF(ISERROR(VLOOKUP(C24,Codigo!$B$4:$C$67,2,FALSE)),"",VLOOKUP(C24,Codigo!$B$4:$C$67,2,FALSE))=C24,"",VLOOKUP(C24,(Codigo!$B$4:$C$67),2,FALSE))</f>
        <v/>
      </c>
      <c r="C24" s="59"/>
      <c r="D24" s="60"/>
      <c r="E24" s="28"/>
      <c r="F24" s="158"/>
      <c r="G24" s="158"/>
      <c r="H24" s="226"/>
      <c r="I24" s="235"/>
      <c r="J24" s="33"/>
      <c r="K24" s="138"/>
      <c r="L24" s="33"/>
      <c r="M24" s="138"/>
      <c r="N24" s="33"/>
      <c r="O24" s="138"/>
      <c r="P24" s="33"/>
      <c r="Q24" s="138"/>
      <c r="R24" s="33"/>
      <c r="S24" s="138"/>
      <c r="T24" s="33"/>
      <c r="U24" s="138"/>
      <c r="V24" s="151">
        <f t="shared" si="0"/>
        <v>0</v>
      </c>
    </row>
    <row r="25" spans="2:22" x14ac:dyDescent="0.3">
      <c r="B25" s="29" t="str">
        <f>IF(IF(ISERROR(VLOOKUP(C25,Codigo!$B$4:$C$67,2,FALSE)),"",VLOOKUP(C25,Codigo!$B$4:$C$67,2,FALSE))=C25,"",VLOOKUP(C25,(Codigo!$B$4:$C$67),2,FALSE))</f>
        <v/>
      </c>
      <c r="C25" s="59"/>
      <c r="D25" s="60"/>
      <c r="E25" s="28"/>
      <c r="F25" s="158"/>
      <c r="G25" s="158"/>
      <c r="H25" s="226"/>
      <c r="I25" s="235"/>
      <c r="J25" s="33"/>
      <c r="K25" s="138"/>
      <c r="L25" s="33"/>
      <c r="M25" s="138"/>
      <c r="N25" s="33"/>
      <c r="O25" s="138"/>
      <c r="P25" s="33"/>
      <c r="Q25" s="138"/>
      <c r="R25" s="33"/>
      <c r="S25" s="138"/>
      <c r="T25" s="33"/>
      <c r="U25" s="138"/>
      <c r="V25" s="151">
        <f t="shared" si="0"/>
        <v>0</v>
      </c>
    </row>
    <row r="26" spans="2:22" x14ac:dyDescent="0.3">
      <c r="B26" s="29" t="str">
        <f>IF(IF(ISERROR(VLOOKUP(C26,Codigo!$B$4:$C$67,2,FALSE)),"",VLOOKUP(C26,Codigo!$B$4:$C$67,2,FALSE))=C26,"",VLOOKUP(C26,(Codigo!$B$4:$C$67),2,FALSE))</f>
        <v/>
      </c>
      <c r="C26" s="59"/>
      <c r="D26" s="60"/>
      <c r="E26" s="28"/>
      <c r="F26" s="158"/>
      <c r="G26" s="158"/>
      <c r="H26" s="226"/>
      <c r="I26" s="235"/>
      <c r="J26" s="33"/>
      <c r="K26" s="138"/>
      <c r="L26" s="33"/>
      <c r="M26" s="138"/>
      <c r="N26" s="33"/>
      <c r="O26" s="138"/>
      <c r="P26" s="33"/>
      <c r="Q26" s="138"/>
      <c r="R26" s="33"/>
      <c r="S26" s="138"/>
      <c r="T26" s="33"/>
      <c r="U26" s="138"/>
      <c r="V26" s="151">
        <f t="shared" si="0"/>
        <v>0</v>
      </c>
    </row>
    <row r="27" spans="2:22" x14ac:dyDescent="0.3">
      <c r="B27" s="29" t="str">
        <f>IF(IF(ISERROR(VLOOKUP(C27,Codigo!$B$4:$C$67,2,FALSE)),"",VLOOKUP(C27,Codigo!$B$4:$C$67,2,FALSE))=C27,"",VLOOKUP(C27,(Codigo!$B$4:$C$67),2,FALSE))</f>
        <v/>
      </c>
      <c r="C27" s="59"/>
      <c r="D27" s="60"/>
      <c r="E27" s="28"/>
      <c r="F27" s="158"/>
      <c r="G27" s="158"/>
      <c r="H27" s="226"/>
      <c r="I27" s="235"/>
      <c r="J27" s="33"/>
      <c r="K27" s="138"/>
      <c r="L27" s="33"/>
      <c r="M27" s="138"/>
      <c r="N27" s="33"/>
      <c r="O27" s="138"/>
      <c r="P27" s="33"/>
      <c r="Q27" s="138"/>
      <c r="R27" s="33"/>
      <c r="S27" s="138"/>
      <c r="T27" s="33"/>
      <c r="U27" s="138"/>
      <c r="V27" s="151">
        <f t="shared" si="0"/>
        <v>0</v>
      </c>
    </row>
    <row r="28" spans="2:22" x14ac:dyDescent="0.3">
      <c r="B28" s="29" t="str">
        <f>IF(IF(ISERROR(VLOOKUP(C28,Codigo!$B$4:$C$67,2,FALSE)),"",VLOOKUP(C28,Codigo!$B$4:$C$67,2,FALSE))=C28,"",VLOOKUP(C28,(Codigo!$B$4:$C$67),2,FALSE))</f>
        <v/>
      </c>
      <c r="C28" s="59"/>
      <c r="D28" s="60"/>
      <c r="E28" s="28"/>
      <c r="F28" s="158"/>
      <c r="G28" s="158"/>
      <c r="H28" s="226"/>
      <c r="I28" s="235"/>
      <c r="J28" s="33"/>
      <c r="K28" s="138"/>
      <c r="L28" s="33"/>
      <c r="M28" s="138"/>
      <c r="N28" s="33"/>
      <c r="O28" s="138"/>
      <c r="P28" s="33"/>
      <c r="Q28" s="138"/>
      <c r="R28" s="33"/>
      <c r="S28" s="138"/>
      <c r="T28" s="33"/>
      <c r="U28" s="138"/>
      <c r="V28" s="151">
        <f t="shared" si="0"/>
        <v>0</v>
      </c>
    </row>
    <row r="29" spans="2:22" x14ac:dyDescent="0.3">
      <c r="B29" s="29" t="str">
        <f>IF(IF(ISERROR(VLOOKUP(C29,Codigo!$B$4:$C$67,2,FALSE)),"",VLOOKUP(C29,Codigo!$B$4:$C$67,2,FALSE))=C29,"",VLOOKUP(C29,(Codigo!$B$4:$C$67),2,FALSE))</f>
        <v/>
      </c>
      <c r="C29" s="59"/>
      <c r="D29" s="60"/>
      <c r="E29" s="28"/>
      <c r="F29" s="158"/>
      <c r="G29" s="158"/>
      <c r="H29" s="226"/>
      <c r="I29" s="235"/>
      <c r="J29" s="33"/>
      <c r="K29" s="138"/>
      <c r="L29" s="33"/>
      <c r="M29" s="138"/>
      <c r="N29" s="33"/>
      <c r="O29" s="138"/>
      <c r="P29" s="33"/>
      <c r="Q29" s="138"/>
      <c r="R29" s="33"/>
      <c r="S29" s="138"/>
      <c r="T29" s="33"/>
      <c r="U29" s="138"/>
      <c r="V29" s="151">
        <f t="shared" si="0"/>
        <v>0</v>
      </c>
    </row>
    <row r="30" spans="2:22" x14ac:dyDescent="0.3">
      <c r="B30" s="29" t="str">
        <f>IF(IF(ISERROR(VLOOKUP(C30,Codigo!$B$4:$C$67,2,FALSE)),"",VLOOKUP(C30,Codigo!$B$4:$C$67,2,FALSE))=C30,"",VLOOKUP(C30,(Codigo!$B$4:$C$67),2,FALSE))</f>
        <v/>
      </c>
      <c r="C30" s="59"/>
      <c r="D30" s="60"/>
      <c r="E30" s="28"/>
      <c r="F30" s="158"/>
      <c r="G30" s="158"/>
      <c r="H30" s="226"/>
      <c r="I30" s="235"/>
      <c r="J30" s="33"/>
      <c r="K30" s="138"/>
      <c r="L30" s="33"/>
      <c r="M30" s="138"/>
      <c r="N30" s="33"/>
      <c r="O30" s="138"/>
      <c r="P30" s="33"/>
      <c r="Q30" s="138"/>
      <c r="R30" s="33"/>
      <c r="S30" s="138"/>
      <c r="T30" s="33"/>
      <c r="U30" s="138"/>
      <c r="V30" s="151">
        <f t="shared" si="0"/>
        <v>0</v>
      </c>
    </row>
    <row r="31" spans="2:22" x14ac:dyDescent="0.3">
      <c r="B31" s="29" t="str">
        <f>IF(IF(ISERROR(VLOOKUP(C31,Codigo!$B$4:$C$67,2,FALSE)),"",VLOOKUP(C31,Codigo!$B$4:$C$67,2,FALSE))=C31,"",VLOOKUP(C31,(Codigo!$B$4:$C$67),2,FALSE))</f>
        <v/>
      </c>
      <c r="C31" s="59"/>
      <c r="D31" s="60"/>
      <c r="E31" s="28"/>
      <c r="F31" s="158"/>
      <c r="G31" s="158"/>
      <c r="H31" s="226"/>
      <c r="I31" s="235"/>
      <c r="J31" s="33"/>
      <c r="K31" s="138"/>
      <c r="L31" s="33"/>
      <c r="M31" s="138"/>
      <c r="N31" s="33"/>
      <c r="O31" s="138"/>
      <c r="P31" s="33"/>
      <c r="Q31" s="138"/>
      <c r="R31" s="33"/>
      <c r="S31" s="138"/>
      <c r="T31" s="33"/>
      <c r="U31" s="138"/>
      <c r="V31" s="151">
        <f t="shared" si="0"/>
        <v>0</v>
      </c>
    </row>
    <row r="32" spans="2:22" x14ac:dyDescent="0.3">
      <c r="B32" s="29" t="str">
        <f>IF(IF(ISERROR(VLOOKUP(C32,Codigo!$B$4:$C$67,2,FALSE)),"",VLOOKUP(C32,Codigo!$B$4:$C$67,2,FALSE))=C32,"",VLOOKUP(C32,(Codigo!$B$4:$C$67),2,FALSE))</f>
        <v/>
      </c>
      <c r="C32" s="59"/>
      <c r="D32" s="60"/>
      <c r="E32" s="28"/>
      <c r="F32" s="158"/>
      <c r="G32" s="158"/>
      <c r="H32" s="226"/>
      <c r="I32" s="235"/>
      <c r="J32" s="33"/>
      <c r="K32" s="138"/>
      <c r="L32" s="33"/>
      <c r="M32" s="138"/>
      <c r="N32" s="33"/>
      <c r="O32" s="138"/>
      <c r="P32" s="33"/>
      <c r="Q32" s="138"/>
      <c r="R32" s="33"/>
      <c r="S32" s="138"/>
      <c r="T32" s="33"/>
      <c r="U32" s="138"/>
      <c r="V32" s="151">
        <f t="shared" si="0"/>
        <v>0</v>
      </c>
    </row>
    <row r="33" spans="1:22" x14ac:dyDescent="0.3">
      <c r="B33" s="29" t="str">
        <f>IF(IF(ISERROR(VLOOKUP(C33,Codigo!$B$4:$C$67,2,FALSE)),"",VLOOKUP(C33,Codigo!$B$4:$C$67,2,FALSE))=C33,"",VLOOKUP(C33,(Codigo!$B$4:$C$67),2,FALSE))</f>
        <v/>
      </c>
      <c r="C33" s="59"/>
      <c r="D33" s="60"/>
      <c r="E33" s="28"/>
      <c r="F33" s="158"/>
      <c r="G33" s="158"/>
      <c r="H33" s="226"/>
      <c r="I33" s="235"/>
      <c r="J33" s="33"/>
      <c r="K33" s="138"/>
      <c r="L33" s="33"/>
      <c r="M33" s="138"/>
      <c r="N33" s="33"/>
      <c r="O33" s="138"/>
      <c r="P33" s="33"/>
      <c r="Q33" s="138"/>
      <c r="R33" s="33"/>
      <c r="S33" s="138"/>
      <c r="T33" s="33"/>
      <c r="U33" s="138"/>
      <c r="V33" s="151">
        <f t="shared" si="0"/>
        <v>0</v>
      </c>
    </row>
    <row r="34" spans="1:22" x14ac:dyDescent="0.3">
      <c r="B34" s="29" t="str">
        <f>IF(IF(ISERROR(VLOOKUP(C34,Codigo!$B$4:$C$67,2,FALSE)),"",VLOOKUP(C34,Codigo!$B$4:$C$67,2,FALSE))=C34,"",VLOOKUP(C34,(Codigo!$B$4:$C$67),2,FALSE))</f>
        <v/>
      </c>
      <c r="C34" s="59"/>
      <c r="D34" s="60"/>
      <c r="E34" s="28"/>
      <c r="F34" s="158"/>
      <c r="G34" s="158"/>
      <c r="H34" s="226"/>
      <c r="I34" s="235"/>
      <c r="J34" s="33"/>
      <c r="K34" s="138"/>
      <c r="L34" s="33"/>
      <c r="M34" s="138"/>
      <c r="N34" s="33"/>
      <c r="O34" s="138"/>
      <c r="P34" s="33"/>
      <c r="Q34" s="138"/>
      <c r="R34" s="33"/>
      <c r="S34" s="138"/>
      <c r="T34" s="33"/>
      <c r="U34" s="138"/>
      <c r="V34" s="151">
        <f t="shared" si="0"/>
        <v>0</v>
      </c>
    </row>
    <row r="35" spans="1:22" x14ac:dyDescent="0.3">
      <c r="B35" s="29" t="str">
        <f>IF(IF(ISERROR(VLOOKUP(C35,Codigo!$B$4:$C$67,2,FALSE)),"",VLOOKUP(C35,Codigo!$B$4:$C$67,2,FALSE))=C35,"",VLOOKUP(C35,(Codigo!$B$4:$C$67),2,FALSE))</f>
        <v/>
      </c>
      <c r="C35" s="59"/>
      <c r="D35" s="60"/>
      <c r="E35" s="28"/>
      <c r="F35" s="158"/>
      <c r="G35" s="158"/>
      <c r="H35" s="226"/>
      <c r="I35" s="235"/>
      <c r="J35" s="33"/>
      <c r="K35" s="138"/>
      <c r="L35" s="33"/>
      <c r="M35" s="138"/>
      <c r="N35" s="33"/>
      <c r="O35" s="138"/>
      <c r="P35" s="33"/>
      <c r="Q35" s="138"/>
      <c r="R35" s="33"/>
      <c r="S35" s="138"/>
      <c r="T35" s="33"/>
      <c r="U35" s="138"/>
      <c r="V35" s="151">
        <f t="shared" si="0"/>
        <v>0</v>
      </c>
    </row>
    <row r="36" spans="1:22" x14ac:dyDescent="0.3">
      <c r="B36" s="29" t="str">
        <f>IF(IF(ISERROR(VLOOKUP(C36,Codigo!$B$4:$C$67,2,FALSE)),"",VLOOKUP(C36,Codigo!$B$4:$C$67,2,FALSE))=C36,"",VLOOKUP(C36,(Codigo!$B$4:$C$67),2,FALSE))</f>
        <v/>
      </c>
      <c r="C36" s="59"/>
      <c r="D36" s="60"/>
      <c r="E36" s="28"/>
      <c r="F36" s="158"/>
      <c r="G36" s="158"/>
      <c r="H36" s="226"/>
      <c r="I36" s="235"/>
      <c r="J36" s="33"/>
      <c r="K36" s="138"/>
      <c r="L36" s="33"/>
      <c r="M36" s="138"/>
      <c r="N36" s="33"/>
      <c r="O36" s="138"/>
      <c r="P36" s="33"/>
      <c r="Q36" s="138"/>
      <c r="R36" s="33"/>
      <c r="S36" s="138"/>
      <c r="T36" s="33"/>
      <c r="U36" s="138"/>
      <c r="V36" s="151">
        <f t="shared" si="0"/>
        <v>0</v>
      </c>
    </row>
    <row r="37" spans="1:22" x14ac:dyDescent="0.3">
      <c r="B37" s="29" t="str">
        <f>IF(IF(ISERROR(VLOOKUP(C37,Codigo!$B$4:$C$67,2,FALSE)),"",VLOOKUP(C37,Codigo!$B$4:$C$67,2,FALSE))=C37,"",VLOOKUP(C37,(Codigo!$B$4:$C$67),2,FALSE))</f>
        <v/>
      </c>
      <c r="C37" s="59"/>
      <c r="D37" s="60"/>
      <c r="E37" s="28"/>
      <c r="F37" s="158"/>
      <c r="G37" s="158"/>
      <c r="H37" s="226"/>
      <c r="I37" s="235"/>
      <c r="J37" s="33"/>
      <c r="K37" s="138"/>
      <c r="L37" s="33"/>
      <c r="M37" s="138"/>
      <c r="N37" s="33"/>
      <c r="O37" s="138"/>
      <c r="P37" s="33"/>
      <c r="Q37" s="138"/>
      <c r="R37" s="33"/>
      <c r="S37" s="138"/>
      <c r="T37" s="33"/>
      <c r="U37" s="138"/>
      <c r="V37" s="151">
        <f t="shared" si="0"/>
        <v>0</v>
      </c>
    </row>
    <row r="38" spans="1:22" x14ac:dyDescent="0.3">
      <c r="B38" s="29" t="str">
        <f>IF(IF(ISERROR(VLOOKUP(C38,Codigo!$B$4:$C$67,2,FALSE)),"",VLOOKUP(C38,Codigo!$B$4:$C$67,2,FALSE))=C38,"",VLOOKUP(C38,(Codigo!$B$4:$C$67),2,FALSE))</f>
        <v/>
      </c>
      <c r="C38" s="59"/>
      <c r="D38" s="60"/>
      <c r="E38" s="28"/>
      <c r="F38" s="158"/>
      <c r="G38" s="158"/>
      <c r="H38" s="226"/>
      <c r="I38" s="235"/>
      <c r="J38" s="33"/>
      <c r="K38" s="138"/>
      <c r="L38" s="33"/>
      <c r="M38" s="138"/>
      <c r="N38" s="33"/>
      <c r="O38" s="138"/>
      <c r="P38" s="33"/>
      <c r="Q38" s="138"/>
      <c r="R38" s="33"/>
      <c r="S38" s="138"/>
      <c r="T38" s="33"/>
      <c r="U38" s="138"/>
      <c r="V38" s="151">
        <f t="shared" si="0"/>
        <v>0</v>
      </c>
    </row>
    <row r="39" spans="1:22" x14ac:dyDescent="0.3">
      <c r="B39" s="29" t="str">
        <f>IF(IF(ISERROR(VLOOKUP(C39,Codigo!$B$4:$C$67,2,FALSE)),"",VLOOKUP(C39,Codigo!$B$4:$C$67,2,FALSE))=C39,"",VLOOKUP(C39,(Codigo!$B$4:$C$67),2,FALSE))</f>
        <v/>
      </c>
      <c r="C39" s="59"/>
      <c r="D39" s="60"/>
      <c r="E39" s="28"/>
      <c r="F39" s="158"/>
      <c r="G39" s="158"/>
      <c r="H39" s="226"/>
      <c r="I39" s="235"/>
      <c r="J39" s="33"/>
      <c r="K39" s="138"/>
      <c r="L39" s="33"/>
      <c r="M39" s="138"/>
      <c r="N39" s="33"/>
      <c r="O39" s="138"/>
      <c r="P39" s="33"/>
      <c r="Q39" s="138"/>
      <c r="R39" s="33"/>
      <c r="S39" s="138"/>
      <c r="T39" s="33"/>
      <c r="U39" s="138"/>
      <c r="V39" s="151">
        <f t="shared" si="0"/>
        <v>0</v>
      </c>
    </row>
    <row r="40" spans="1:22" x14ac:dyDescent="0.3">
      <c r="B40" s="29" t="str">
        <f>IF(IF(ISERROR(VLOOKUP(C40,Codigo!$B$4:$C$67,2,FALSE)),"",VLOOKUP(C40,Codigo!$B$4:$C$67,2,FALSE))=C40,"",VLOOKUP(C40,(Codigo!$B$4:$C$67),2,FALSE))</f>
        <v/>
      </c>
      <c r="C40" s="59"/>
      <c r="D40" s="60"/>
      <c r="E40" s="28"/>
      <c r="F40" s="158"/>
      <c r="G40" s="158"/>
      <c r="H40" s="226"/>
      <c r="I40" s="235"/>
      <c r="J40" s="33"/>
      <c r="K40" s="138"/>
      <c r="L40" s="33"/>
      <c r="M40" s="138"/>
      <c r="N40" s="33"/>
      <c r="O40" s="138"/>
      <c r="P40" s="33"/>
      <c r="Q40" s="138"/>
      <c r="R40" s="33"/>
      <c r="S40" s="138"/>
      <c r="T40" s="33"/>
      <c r="U40" s="138"/>
      <c r="V40" s="151">
        <f>+SUM(J40:U40)</f>
        <v>0</v>
      </c>
    </row>
    <row r="41" spans="1:22" x14ac:dyDescent="0.3">
      <c r="B41" s="29" t="str">
        <f>IF(IF(ISERROR(VLOOKUP(C41,Codigo!$B$4:$C$67,2,FALSE)),"",VLOOKUP(C41,Codigo!$B$4:$C$67,2,FALSE))=C41,"",VLOOKUP(C41,(Codigo!$B$4:$C$67),2,FALSE))</f>
        <v/>
      </c>
      <c r="C41" s="59"/>
      <c r="D41" s="60"/>
      <c r="E41" s="28"/>
      <c r="F41" s="158"/>
      <c r="G41" s="158"/>
      <c r="H41" s="226"/>
      <c r="I41" s="235"/>
      <c r="J41" s="33"/>
      <c r="K41" s="138"/>
      <c r="L41" s="33"/>
      <c r="M41" s="138"/>
      <c r="N41" s="33"/>
      <c r="O41" s="138"/>
      <c r="P41" s="33"/>
      <c r="Q41" s="138"/>
      <c r="R41" s="33"/>
      <c r="S41" s="138"/>
      <c r="T41" s="33"/>
      <c r="U41" s="138"/>
      <c r="V41" s="151">
        <f>+SUM(J41:U41)</f>
        <v>0</v>
      </c>
    </row>
    <row r="42" spans="1:22" x14ac:dyDescent="0.3">
      <c r="B42" s="29" t="str">
        <f>IF(IF(ISERROR(VLOOKUP(C42,Codigo!$B$4:$C$67,2,FALSE)),"",VLOOKUP(C42,Codigo!$B$4:$C$67,2,FALSE))=C42,"",VLOOKUP(C42,(Codigo!$B$4:$C$67),2,FALSE))</f>
        <v/>
      </c>
      <c r="C42" s="59"/>
      <c r="D42" s="60"/>
      <c r="E42" s="28"/>
      <c r="F42" s="158"/>
      <c r="G42" s="158"/>
      <c r="H42" s="226"/>
      <c r="I42" s="235"/>
      <c r="J42" s="33"/>
      <c r="K42" s="138"/>
      <c r="L42" s="33"/>
      <c r="M42" s="138"/>
      <c r="N42" s="33"/>
      <c r="O42" s="138"/>
      <c r="P42" s="33"/>
      <c r="Q42" s="138"/>
      <c r="R42" s="33"/>
      <c r="S42" s="138"/>
      <c r="T42" s="33"/>
      <c r="U42" s="138"/>
      <c r="V42" s="151">
        <f>+SUM(J42:U42)</f>
        <v>0</v>
      </c>
    </row>
    <row r="43" spans="1:22" x14ac:dyDescent="0.3">
      <c r="B43" s="29" t="str">
        <f>IF(IF(ISERROR(VLOOKUP(C43,Codigo!$B$4:$C$67,2,FALSE)),"",VLOOKUP(C43,Codigo!$B$4:$C$67,2,FALSE))=C43,"",VLOOKUP(C43,(Codigo!$B$4:$C$67),2,FALSE))</f>
        <v/>
      </c>
      <c r="C43" s="59"/>
      <c r="D43" s="60"/>
      <c r="E43" s="28"/>
      <c r="F43" s="158"/>
      <c r="G43" s="158"/>
      <c r="H43" s="226"/>
      <c r="I43" s="235"/>
      <c r="J43" s="33"/>
      <c r="K43" s="138"/>
      <c r="L43" s="33"/>
      <c r="M43" s="138"/>
      <c r="N43" s="33"/>
      <c r="O43" s="138"/>
      <c r="P43" s="33"/>
      <c r="Q43" s="138"/>
      <c r="R43" s="33"/>
      <c r="S43" s="138"/>
      <c r="T43" s="33"/>
      <c r="U43" s="138"/>
      <c r="V43" s="151">
        <f>+SUM(J43:U43)</f>
        <v>0</v>
      </c>
    </row>
    <row r="44" spans="1:22" x14ac:dyDescent="0.3">
      <c r="B44" s="29" t="str">
        <f>IF(IF(ISERROR(VLOOKUP(C44,Codigo!$B$4:$C$67,2,FALSE)),"",VLOOKUP(C44,Codigo!$B$4:$C$67,2,FALSE))=C44,"",VLOOKUP(C44,(Codigo!$B$4:$C$67),2,FALSE))</f>
        <v/>
      </c>
      <c r="C44" s="59"/>
      <c r="D44" s="60"/>
      <c r="E44" s="28"/>
      <c r="F44" s="158"/>
      <c r="G44" s="158"/>
      <c r="H44" s="226"/>
      <c r="I44" s="235"/>
      <c r="J44" s="33"/>
      <c r="K44" s="138"/>
      <c r="L44" s="33"/>
      <c r="M44" s="138"/>
      <c r="N44" s="33"/>
      <c r="O44" s="138"/>
      <c r="P44" s="33"/>
      <c r="Q44" s="138"/>
      <c r="R44" s="33"/>
      <c r="S44" s="138"/>
      <c r="T44" s="33"/>
      <c r="U44" s="138"/>
      <c r="V44" s="151">
        <f>+SUM(J44:U44)</f>
        <v>0</v>
      </c>
    </row>
    <row r="45" spans="1:22" s="227" customFormat="1" ht="15.6" x14ac:dyDescent="0.3">
      <c r="B45" s="83" t="str">
        <f>IF(IF(ISERROR(VLOOKUP(C45,Codigo!$B$4:$C$67,2,FALSE)),"",VLOOKUP(C45,Codigo!$B$4:$C$67,2,FALSE))=C45,"",VLOOKUP(C45,(Codigo!$B$4:$C$67),2,FALSE))</f>
        <v/>
      </c>
      <c r="C45" s="83"/>
      <c r="D45" s="156"/>
      <c r="E45" s="160" t="s">
        <v>153</v>
      </c>
      <c r="F45" s="160"/>
      <c r="G45" s="228">
        <f>SUM(G6:G44)</f>
        <v>2945</v>
      </c>
      <c r="H45" s="160"/>
      <c r="I45" s="237"/>
      <c r="J45" s="237">
        <f t="shared" ref="J45:V45" si="1">SUM(J6:J44)</f>
        <v>220</v>
      </c>
      <c r="K45" s="237">
        <f t="shared" si="1"/>
        <v>427.5</v>
      </c>
      <c r="L45" s="237">
        <f t="shared" si="1"/>
        <v>492.5</v>
      </c>
      <c r="M45" s="237">
        <f t="shared" si="1"/>
        <v>335</v>
      </c>
      <c r="N45" s="237">
        <f t="shared" si="1"/>
        <v>335</v>
      </c>
      <c r="O45" s="237">
        <f t="shared" si="1"/>
        <v>335</v>
      </c>
      <c r="P45" s="237">
        <f t="shared" si="1"/>
        <v>200</v>
      </c>
      <c r="Q45" s="237">
        <f t="shared" si="1"/>
        <v>200</v>
      </c>
      <c r="R45" s="237">
        <f t="shared" si="1"/>
        <v>200</v>
      </c>
      <c r="S45" s="237">
        <f t="shared" si="1"/>
        <v>200</v>
      </c>
      <c r="T45" s="237">
        <f t="shared" si="1"/>
        <v>0</v>
      </c>
      <c r="U45" s="237">
        <f t="shared" si="1"/>
        <v>0</v>
      </c>
      <c r="V45" s="237">
        <f t="shared" si="1"/>
        <v>2945</v>
      </c>
    </row>
    <row r="46" spans="1:22" x14ac:dyDescent="0.3">
      <c r="A46" s="75"/>
      <c r="B46" s="75"/>
    </row>
    <row r="182" spans="1:1" x14ac:dyDescent="0.3">
      <c r="A182">
        <v>1</v>
      </c>
    </row>
    <row r="183" spans="1:1" x14ac:dyDescent="0.3">
      <c r="A183">
        <v>1</v>
      </c>
    </row>
  </sheetData>
  <protectedRanges>
    <protectedRange password="C0D7" sqref="D6:G6 G9 F8:F10 D11:G44 F7:G7" name="Lançamentos_1"/>
    <protectedRange password="C0D7" sqref="I6:I44" name="Lançamentos_1_2_1"/>
    <protectedRange password="C0D7" sqref="H6:H44" name="Lançamentos_1_1"/>
    <protectedRange password="C117" sqref="C11:C44 C6:C9" name="Código_1_1"/>
    <protectedRange password="C0D7" sqref="D10:E10 D8:E8 G10 G8" name="Lançamentos_1_3"/>
    <protectedRange password="C117" sqref="C10" name="Código_1_1_2"/>
    <protectedRange password="C0D7" sqref="D9:E9 D7:E7" name="Lançamentos_1_2"/>
    <protectedRange password="C0D7" sqref="B6:B45" name="Lançamentos_4"/>
  </protectedRanges>
  <pageMargins left="0.23622047244094491" right="0.23622047244094491" top="0.74803149606299213" bottom="0.74803149606299213" header="0.31496062992125984" footer="0.31496062992125984"/>
  <pageSetup paperSize="9" scale="60" orientation="landscape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9">
    <pageSetUpPr fitToPage="1"/>
  </sheetPr>
  <dimension ref="A1:Q185"/>
  <sheetViews>
    <sheetView showGridLines="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ColWidth="9.109375" defaultRowHeight="14.4" x14ac:dyDescent="0.3"/>
  <cols>
    <col min="1" max="1" width="0.88671875" customWidth="1"/>
    <col min="2" max="2" width="11.6640625" customWidth="1"/>
    <col min="3" max="3" width="44.88671875" customWidth="1"/>
    <col min="4" max="4" width="10.109375" customWidth="1"/>
    <col min="5" max="16" width="9.6640625" customWidth="1"/>
    <col min="17" max="17" width="11.44140625" customWidth="1"/>
    <col min="18" max="30" width="9.6640625" customWidth="1"/>
    <col min="31" max="47" width="9.88671875" customWidth="1"/>
  </cols>
  <sheetData>
    <row r="1" spans="1:17" ht="55.5" customHeight="1" x14ac:dyDescent="0.3">
      <c r="B1" s="17"/>
      <c r="C1" s="286" t="s">
        <v>0</v>
      </c>
      <c r="D1" s="286"/>
    </row>
    <row r="2" spans="1:17" ht="24" customHeight="1" x14ac:dyDescent="0.3">
      <c r="B2" s="17"/>
      <c r="C2" s="17"/>
      <c r="D2" s="17"/>
    </row>
    <row r="3" spans="1:17" ht="27.75" customHeight="1" x14ac:dyDescent="0.45">
      <c r="B3" s="219" t="s">
        <v>305</v>
      </c>
      <c r="D3" s="221">
        <f>+Instruções!$I$19</f>
        <v>2026</v>
      </c>
      <c r="E3" s="221"/>
    </row>
    <row r="4" spans="1:17" s="34" customFormat="1" ht="13.5" customHeight="1" x14ac:dyDescent="0.3">
      <c r="B4" s="156"/>
      <c r="C4" s="155"/>
      <c r="D4" s="155" t="s">
        <v>308</v>
      </c>
      <c r="E4" s="217" t="s">
        <v>318</v>
      </c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</row>
    <row r="5" spans="1:17" s="34" customFormat="1" ht="13.5" customHeight="1" x14ac:dyDescent="0.3">
      <c r="B5" s="156" t="s">
        <v>72</v>
      </c>
      <c r="C5" s="161" t="s">
        <v>312</v>
      </c>
      <c r="D5" s="155" t="s">
        <v>304</v>
      </c>
      <c r="E5" s="160" t="s">
        <v>262</v>
      </c>
      <c r="F5" s="160" t="s">
        <v>281</v>
      </c>
      <c r="G5" s="160" t="s">
        <v>282</v>
      </c>
      <c r="H5" s="160" t="s">
        <v>283</v>
      </c>
      <c r="I5" s="160" t="s">
        <v>284</v>
      </c>
      <c r="J5" s="160" t="s">
        <v>285</v>
      </c>
      <c r="K5" s="160" t="s">
        <v>286</v>
      </c>
      <c r="L5" s="160" t="s">
        <v>287</v>
      </c>
      <c r="M5" s="160" t="s">
        <v>288</v>
      </c>
      <c r="N5" s="160" t="s">
        <v>289</v>
      </c>
      <c r="O5" s="160" t="s">
        <v>290</v>
      </c>
      <c r="P5" s="160" t="s">
        <v>291</v>
      </c>
      <c r="Q5" s="160" t="s">
        <v>295</v>
      </c>
    </row>
    <row r="6" spans="1:17" s="34" customFormat="1" ht="5.25" customHeight="1" x14ac:dyDescent="0.3">
      <c r="B6" s="172"/>
      <c r="C6" s="173"/>
      <c r="D6" s="159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</row>
    <row r="7" spans="1:17" ht="12.75" customHeight="1" x14ac:dyDescent="0.3">
      <c r="B7" s="186"/>
      <c r="C7" s="187" t="s">
        <v>303</v>
      </c>
      <c r="D7" s="188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90"/>
    </row>
    <row r="8" spans="1:17" x14ac:dyDescent="0.3">
      <c r="A8">
        <v>1</v>
      </c>
      <c r="B8" s="195">
        <v>41263</v>
      </c>
      <c r="C8" s="170" t="s">
        <v>311</v>
      </c>
      <c r="D8" s="204">
        <v>100</v>
      </c>
      <c r="E8" s="162">
        <f>+D8</f>
        <v>100</v>
      </c>
      <c r="F8" s="163">
        <f t="shared" ref="F8:P8" si="0">+E12</f>
        <v>200.5</v>
      </c>
      <c r="G8" s="162">
        <f t="shared" si="0"/>
        <v>301.55</v>
      </c>
      <c r="H8" s="162">
        <f t="shared" si="0"/>
        <v>251.55</v>
      </c>
      <c r="I8" s="162">
        <f t="shared" si="0"/>
        <v>251.55</v>
      </c>
      <c r="J8" s="162">
        <f t="shared" si="0"/>
        <v>251.55</v>
      </c>
      <c r="K8" s="162">
        <f t="shared" si="0"/>
        <v>251.55</v>
      </c>
      <c r="L8" s="162">
        <f t="shared" si="0"/>
        <v>251.55</v>
      </c>
      <c r="M8" s="162">
        <f t="shared" si="0"/>
        <v>251.55</v>
      </c>
      <c r="N8" s="162">
        <f t="shared" si="0"/>
        <v>251.55</v>
      </c>
      <c r="O8" s="162">
        <f t="shared" si="0"/>
        <v>251.55</v>
      </c>
      <c r="P8" s="162">
        <f t="shared" si="0"/>
        <v>251.55</v>
      </c>
      <c r="Q8" s="192">
        <f>+P8</f>
        <v>251.55</v>
      </c>
    </row>
    <row r="9" spans="1:17" x14ac:dyDescent="0.3">
      <c r="B9" s="191">
        <v>40928</v>
      </c>
      <c r="C9" s="193" t="s">
        <v>307</v>
      </c>
      <c r="D9" s="214"/>
      <c r="E9" s="169">
        <v>0.5</v>
      </c>
      <c r="F9" s="151">
        <v>1.05</v>
      </c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92">
        <f>SUM(E9:P9)</f>
        <v>1.55</v>
      </c>
    </row>
    <row r="10" spans="1:17" x14ac:dyDescent="0.3">
      <c r="B10" s="191">
        <v>40928</v>
      </c>
      <c r="C10" s="208" t="s">
        <v>309</v>
      </c>
      <c r="D10" s="215"/>
      <c r="E10" s="211">
        <v>100</v>
      </c>
      <c r="F10" s="183">
        <v>100</v>
      </c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92">
        <f>SUM(E10:P10)</f>
        <v>200</v>
      </c>
    </row>
    <row r="11" spans="1:17" x14ac:dyDescent="0.3">
      <c r="B11" s="194">
        <v>40960</v>
      </c>
      <c r="C11" s="209" t="s">
        <v>317</v>
      </c>
      <c r="D11" s="215"/>
      <c r="E11" s="212"/>
      <c r="F11" s="181"/>
      <c r="G11" s="181">
        <v>50</v>
      </c>
      <c r="H11" s="181"/>
      <c r="I11" s="181"/>
      <c r="J11" s="181"/>
      <c r="K11" s="181"/>
      <c r="L11" s="181"/>
      <c r="M11" s="181"/>
      <c r="N11" s="181"/>
      <c r="O11" s="181"/>
      <c r="P11" s="181"/>
      <c r="Q11" s="192">
        <f>SUM(E11:P11)</f>
        <v>50</v>
      </c>
    </row>
    <row r="12" spans="1:17" x14ac:dyDescent="0.3">
      <c r="B12" s="196"/>
      <c r="C12" s="210" t="s">
        <v>310</v>
      </c>
      <c r="D12" s="216"/>
      <c r="E12" s="213">
        <f>SUM(E8:E10)-E11</f>
        <v>200.5</v>
      </c>
      <c r="F12" s="197">
        <f t="shared" ref="F12:P12" si="1">SUM(F8:F10)-F11</f>
        <v>301.55</v>
      </c>
      <c r="G12" s="197">
        <f t="shared" si="1"/>
        <v>251.55</v>
      </c>
      <c r="H12" s="197">
        <f t="shared" si="1"/>
        <v>251.55</v>
      </c>
      <c r="I12" s="197">
        <f t="shared" si="1"/>
        <v>251.55</v>
      </c>
      <c r="J12" s="197">
        <f t="shared" si="1"/>
        <v>251.55</v>
      </c>
      <c r="K12" s="197">
        <f t="shared" si="1"/>
        <v>251.55</v>
      </c>
      <c r="L12" s="197">
        <f t="shared" si="1"/>
        <v>251.55</v>
      </c>
      <c r="M12" s="197">
        <f t="shared" si="1"/>
        <v>251.55</v>
      </c>
      <c r="N12" s="197">
        <f t="shared" si="1"/>
        <v>251.55</v>
      </c>
      <c r="O12" s="197">
        <f t="shared" si="1"/>
        <v>251.55</v>
      </c>
      <c r="P12" s="197">
        <f t="shared" si="1"/>
        <v>251.55</v>
      </c>
      <c r="Q12" s="198">
        <f>+P12</f>
        <v>251.55</v>
      </c>
    </row>
    <row r="13" spans="1:17" x14ac:dyDescent="0.3">
      <c r="B13" s="164"/>
      <c r="C13" s="165"/>
      <c r="D13" s="166"/>
      <c r="E13" s="167"/>
      <c r="F13" s="168"/>
      <c r="G13" s="167"/>
      <c r="H13" s="168"/>
      <c r="I13" s="167"/>
      <c r="J13" s="168"/>
      <c r="K13" s="167"/>
      <c r="L13" s="168"/>
      <c r="M13" s="167"/>
      <c r="N13" s="168"/>
      <c r="O13" s="167"/>
      <c r="P13" s="168"/>
      <c r="Q13" s="166">
        <f>+SUM(E13:P13)</f>
        <v>0</v>
      </c>
    </row>
    <row r="14" spans="1:17" ht="11.25" customHeight="1" x14ac:dyDescent="0.3">
      <c r="B14" s="186"/>
      <c r="C14" s="187" t="s">
        <v>314</v>
      </c>
      <c r="D14" s="188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90"/>
    </row>
    <row r="15" spans="1:17" x14ac:dyDescent="0.3">
      <c r="A15">
        <v>1</v>
      </c>
      <c r="B15" s="191">
        <v>41263</v>
      </c>
      <c r="C15" s="157" t="s">
        <v>311</v>
      </c>
      <c r="D15" s="182">
        <v>1000</v>
      </c>
      <c r="E15" s="178">
        <f>+D15</f>
        <v>1000</v>
      </c>
      <c r="F15" s="177">
        <f t="shared" ref="F15:P15" si="2">+E19</f>
        <v>1000.6</v>
      </c>
      <c r="G15" s="178">
        <f t="shared" si="2"/>
        <v>1001.8000000000001</v>
      </c>
      <c r="H15" s="178">
        <f t="shared" si="2"/>
        <v>601.80000000000007</v>
      </c>
      <c r="I15" s="178">
        <f t="shared" si="2"/>
        <v>601.80000000000007</v>
      </c>
      <c r="J15" s="178">
        <f t="shared" si="2"/>
        <v>601.80000000000007</v>
      </c>
      <c r="K15" s="178">
        <f t="shared" si="2"/>
        <v>601.80000000000007</v>
      </c>
      <c r="L15" s="178">
        <f t="shared" si="2"/>
        <v>601.80000000000007</v>
      </c>
      <c r="M15" s="178">
        <f t="shared" si="2"/>
        <v>601.80000000000007</v>
      </c>
      <c r="N15" s="178">
        <f t="shared" si="2"/>
        <v>601.80000000000007</v>
      </c>
      <c r="O15" s="178">
        <f t="shared" si="2"/>
        <v>601.80000000000007</v>
      </c>
      <c r="P15" s="178">
        <f t="shared" si="2"/>
        <v>601.80000000000007</v>
      </c>
      <c r="Q15" s="192">
        <f>+P15</f>
        <v>601.80000000000007</v>
      </c>
    </row>
    <row r="16" spans="1:17" x14ac:dyDescent="0.3">
      <c r="B16" s="191">
        <v>40928</v>
      </c>
      <c r="C16" s="193" t="s">
        <v>315</v>
      </c>
      <c r="D16" s="214"/>
      <c r="E16" s="206">
        <v>0.6</v>
      </c>
      <c r="F16" s="207">
        <v>1.2</v>
      </c>
      <c r="G16" s="207"/>
      <c r="H16" s="207"/>
      <c r="I16" s="207"/>
      <c r="J16" s="207"/>
      <c r="K16" s="207"/>
      <c r="L16" s="207"/>
      <c r="M16" s="207"/>
      <c r="N16" s="207"/>
      <c r="O16" s="207"/>
      <c r="P16" s="179"/>
      <c r="Q16" s="205">
        <f>SUM(E16:P16)</f>
        <v>1.7999999999999998</v>
      </c>
    </row>
    <row r="17" spans="1:17" x14ac:dyDescent="0.3">
      <c r="B17" s="194">
        <v>40928</v>
      </c>
      <c r="C17" s="176" t="s">
        <v>309</v>
      </c>
      <c r="D17" s="215"/>
      <c r="E17" s="206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179"/>
      <c r="Q17" s="205">
        <f>SUM(E17:P17)</f>
        <v>0</v>
      </c>
    </row>
    <row r="18" spans="1:17" x14ac:dyDescent="0.3">
      <c r="B18" s="203"/>
      <c r="C18" s="176" t="s">
        <v>317</v>
      </c>
      <c r="D18" s="215"/>
      <c r="E18" s="181"/>
      <c r="F18" s="181"/>
      <c r="G18" s="181">
        <v>400</v>
      </c>
      <c r="H18" s="181"/>
      <c r="I18" s="181"/>
      <c r="J18" s="181"/>
      <c r="K18" s="181"/>
      <c r="L18" s="181"/>
      <c r="M18" s="181"/>
      <c r="N18" s="181"/>
      <c r="O18" s="181"/>
      <c r="P18" s="181"/>
      <c r="Q18" s="192">
        <f>SUM(E18:P18)</f>
        <v>400</v>
      </c>
    </row>
    <row r="19" spans="1:17" x14ac:dyDescent="0.3">
      <c r="B19" s="171"/>
      <c r="C19" s="180" t="s">
        <v>313</v>
      </c>
      <c r="D19" s="216"/>
      <c r="E19" s="197">
        <f t="shared" ref="E19:P19" si="3">SUM(E15:E17)-E18</f>
        <v>1000.6</v>
      </c>
      <c r="F19" s="197">
        <f t="shared" si="3"/>
        <v>1001.8000000000001</v>
      </c>
      <c r="G19" s="197">
        <f t="shared" si="3"/>
        <v>601.80000000000007</v>
      </c>
      <c r="H19" s="197">
        <f t="shared" si="3"/>
        <v>601.80000000000007</v>
      </c>
      <c r="I19" s="197">
        <f t="shared" si="3"/>
        <v>601.80000000000007</v>
      </c>
      <c r="J19" s="197">
        <f t="shared" si="3"/>
        <v>601.80000000000007</v>
      </c>
      <c r="K19" s="197">
        <f t="shared" si="3"/>
        <v>601.80000000000007</v>
      </c>
      <c r="L19" s="197">
        <f t="shared" si="3"/>
        <v>601.80000000000007</v>
      </c>
      <c r="M19" s="197">
        <f t="shared" si="3"/>
        <v>601.80000000000007</v>
      </c>
      <c r="N19" s="197">
        <f t="shared" si="3"/>
        <v>601.80000000000007</v>
      </c>
      <c r="O19" s="197">
        <f t="shared" si="3"/>
        <v>601.80000000000007</v>
      </c>
      <c r="P19" s="197">
        <f t="shared" si="3"/>
        <v>601.80000000000007</v>
      </c>
      <c r="Q19" s="198">
        <f>+P19</f>
        <v>601.80000000000007</v>
      </c>
    </row>
    <row r="20" spans="1:17" x14ac:dyDescent="0.3">
      <c r="B20" s="164"/>
      <c r="C20" s="165"/>
      <c r="D20" s="166"/>
      <c r="E20" s="167"/>
      <c r="F20" s="168"/>
      <c r="G20" s="167"/>
      <c r="H20" s="168"/>
      <c r="I20" s="167"/>
      <c r="J20" s="168"/>
      <c r="K20" s="167"/>
      <c r="L20" s="168"/>
      <c r="M20" s="167"/>
      <c r="N20" s="168"/>
      <c r="O20" s="167"/>
      <c r="P20" s="168"/>
      <c r="Q20" s="166">
        <f>+SUM(E20:P20)</f>
        <v>0</v>
      </c>
    </row>
    <row r="21" spans="1:17" ht="12.75" customHeight="1" x14ac:dyDescent="0.3">
      <c r="B21" s="156"/>
      <c r="C21" s="161" t="s">
        <v>306</v>
      </c>
      <c r="D21" s="155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</row>
    <row r="22" spans="1:17" x14ac:dyDescent="0.3">
      <c r="A22">
        <v>1</v>
      </c>
      <c r="B22" s="60">
        <v>41263</v>
      </c>
      <c r="C22" s="157" t="s">
        <v>311</v>
      </c>
      <c r="D22" s="182">
        <v>1000</v>
      </c>
      <c r="E22" s="33">
        <f>+D22</f>
        <v>1000</v>
      </c>
      <c r="F22" s="138">
        <f t="shared" ref="F22:P22" si="4">+E26</f>
        <v>1000.6</v>
      </c>
      <c r="G22" s="33">
        <f t="shared" si="4"/>
        <v>1001.8000000000001</v>
      </c>
      <c r="H22" s="33">
        <f t="shared" si="4"/>
        <v>951.80000000000007</v>
      </c>
      <c r="I22" s="33">
        <f t="shared" si="4"/>
        <v>951.80000000000007</v>
      </c>
      <c r="J22" s="33">
        <f t="shared" si="4"/>
        <v>951.80000000000007</v>
      </c>
      <c r="K22" s="33">
        <f t="shared" si="4"/>
        <v>951.80000000000007</v>
      </c>
      <c r="L22" s="33">
        <f t="shared" si="4"/>
        <v>951.80000000000007</v>
      </c>
      <c r="M22" s="33">
        <f t="shared" si="4"/>
        <v>951.80000000000007</v>
      </c>
      <c r="N22" s="33">
        <f t="shared" si="4"/>
        <v>951.80000000000007</v>
      </c>
      <c r="O22" s="33">
        <f t="shared" si="4"/>
        <v>951.80000000000007</v>
      </c>
      <c r="P22" s="33">
        <f t="shared" si="4"/>
        <v>951.80000000000007</v>
      </c>
      <c r="Q22" s="192">
        <f>+P22</f>
        <v>951.80000000000007</v>
      </c>
    </row>
    <row r="23" spans="1:17" x14ac:dyDescent="0.3">
      <c r="B23" s="60">
        <v>40928</v>
      </c>
      <c r="C23" s="193" t="s">
        <v>315</v>
      </c>
      <c r="D23" s="214"/>
      <c r="E23" s="151">
        <v>0.6</v>
      </c>
      <c r="F23" s="151">
        <v>1.2</v>
      </c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92">
        <f>SUM(E23:P23)</f>
        <v>1.7999999999999998</v>
      </c>
    </row>
    <row r="24" spans="1:17" x14ac:dyDescent="0.3">
      <c r="B24" s="175">
        <v>40928</v>
      </c>
      <c r="C24" s="176" t="s">
        <v>309</v>
      </c>
      <c r="D24" s="215"/>
      <c r="E24" s="206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179"/>
      <c r="Q24" s="192">
        <f>SUM(E24:P24)</f>
        <v>0</v>
      </c>
    </row>
    <row r="25" spans="1:17" x14ac:dyDescent="0.3">
      <c r="B25" s="175">
        <v>40929</v>
      </c>
      <c r="C25" s="176" t="s">
        <v>317</v>
      </c>
      <c r="D25" s="215"/>
      <c r="E25" s="181"/>
      <c r="F25" s="181"/>
      <c r="G25" s="181">
        <v>50</v>
      </c>
      <c r="H25" s="181"/>
      <c r="I25" s="181"/>
      <c r="J25" s="181"/>
      <c r="K25" s="181"/>
      <c r="L25" s="181"/>
      <c r="M25" s="181"/>
      <c r="N25" s="181"/>
      <c r="O25" s="181"/>
      <c r="P25" s="181"/>
      <c r="Q25" s="192">
        <f>SUM(E25:P25)</f>
        <v>50</v>
      </c>
    </row>
    <row r="26" spans="1:17" x14ac:dyDescent="0.3">
      <c r="B26" s="184"/>
      <c r="C26" s="185" t="s">
        <v>313</v>
      </c>
      <c r="D26" s="216"/>
      <c r="E26" s="197">
        <f t="shared" ref="E26:P26" si="5">SUM(E22:E24)-E25</f>
        <v>1000.6</v>
      </c>
      <c r="F26" s="197">
        <f t="shared" si="5"/>
        <v>1001.8000000000001</v>
      </c>
      <c r="G26" s="197">
        <f t="shared" si="5"/>
        <v>951.80000000000007</v>
      </c>
      <c r="H26" s="197">
        <f t="shared" si="5"/>
        <v>951.80000000000007</v>
      </c>
      <c r="I26" s="197">
        <f t="shared" si="5"/>
        <v>951.80000000000007</v>
      </c>
      <c r="J26" s="197">
        <f t="shared" si="5"/>
        <v>951.80000000000007</v>
      </c>
      <c r="K26" s="197">
        <f t="shared" si="5"/>
        <v>951.80000000000007</v>
      </c>
      <c r="L26" s="197">
        <f t="shared" si="5"/>
        <v>951.80000000000007</v>
      </c>
      <c r="M26" s="197">
        <f t="shared" si="5"/>
        <v>951.80000000000007</v>
      </c>
      <c r="N26" s="197">
        <f t="shared" si="5"/>
        <v>951.80000000000007</v>
      </c>
      <c r="O26" s="197">
        <f t="shared" si="5"/>
        <v>951.80000000000007</v>
      </c>
      <c r="P26" s="197">
        <f t="shared" si="5"/>
        <v>951.80000000000007</v>
      </c>
      <c r="Q26" s="198">
        <f>+P26</f>
        <v>951.80000000000007</v>
      </c>
    </row>
    <row r="27" spans="1:17" x14ac:dyDescent="0.3">
      <c r="B27" s="164"/>
      <c r="C27" s="165"/>
      <c r="D27" s="166"/>
      <c r="E27" s="167"/>
      <c r="F27" s="168"/>
      <c r="G27" s="167"/>
      <c r="H27" s="168"/>
      <c r="I27" s="167"/>
      <c r="J27" s="168"/>
      <c r="K27" s="167"/>
      <c r="L27" s="168"/>
      <c r="M27" s="167"/>
      <c r="N27" s="168"/>
      <c r="O27" s="167"/>
      <c r="P27" s="168"/>
      <c r="Q27" s="166"/>
    </row>
    <row r="28" spans="1:17" x14ac:dyDescent="0.3">
      <c r="B28" s="164"/>
      <c r="C28" s="165"/>
      <c r="D28" s="166"/>
      <c r="E28" s="167"/>
      <c r="F28" s="168"/>
      <c r="G28" s="167"/>
      <c r="H28" s="168"/>
      <c r="I28" s="167"/>
      <c r="J28" s="168"/>
      <c r="K28" s="167"/>
      <c r="L28" s="168"/>
      <c r="M28" s="167"/>
      <c r="N28" s="168"/>
      <c r="O28" s="167"/>
      <c r="P28" s="168"/>
      <c r="Q28" s="166"/>
    </row>
    <row r="29" spans="1:17" ht="14.25" customHeight="1" x14ac:dyDescent="0.3">
      <c r="B29" s="199"/>
      <c r="C29" s="200" t="s">
        <v>316</v>
      </c>
      <c r="D29" s="201"/>
      <c r="E29" s="202">
        <f>+E26+E19+E12</f>
        <v>2201.6999999999998</v>
      </c>
      <c r="F29" s="202">
        <f t="shared" ref="F29:Q29" si="6">+F26+F19+F12</f>
        <v>2305.15</v>
      </c>
      <c r="G29" s="202">
        <f t="shared" si="6"/>
        <v>1805.15</v>
      </c>
      <c r="H29" s="202">
        <f t="shared" si="6"/>
        <v>1805.15</v>
      </c>
      <c r="I29" s="202">
        <f t="shared" si="6"/>
        <v>1805.15</v>
      </c>
      <c r="J29" s="202">
        <f t="shared" si="6"/>
        <v>1805.15</v>
      </c>
      <c r="K29" s="202">
        <f t="shared" si="6"/>
        <v>1805.15</v>
      </c>
      <c r="L29" s="202">
        <f t="shared" si="6"/>
        <v>1805.15</v>
      </c>
      <c r="M29" s="202">
        <f t="shared" si="6"/>
        <v>1805.15</v>
      </c>
      <c r="N29" s="202">
        <f t="shared" si="6"/>
        <v>1805.15</v>
      </c>
      <c r="O29" s="202">
        <f t="shared" si="6"/>
        <v>1805.15</v>
      </c>
      <c r="P29" s="202">
        <f t="shared" si="6"/>
        <v>1805.15</v>
      </c>
      <c r="Q29" s="202">
        <f t="shared" si="6"/>
        <v>1805.15</v>
      </c>
    </row>
    <row r="30" spans="1:17" x14ac:dyDescent="0.3">
      <c r="B30" s="164"/>
      <c r="C30" s="165"/>
      <c r="D30" s="166"/>
      <c r="E30" s="167"/>
      <c r="F30" s="168"/>
      <c r="G30" s="167"/>
      <c r="H30" s="168"/>
      <c r="I30" s="167"/>
      <c r="J30" s="168"/>
      <c r="K30" s="167"/>
      <c r="L30" s="168"/>
      <c r="M30" s="167"/>
      <c r="N30" s="168"/>
      <c r="O30" s="167"/>
      <c r="P30" s="168"/>
      <c r="Q30" s="166"/>
    </row>
    <row r="31" spans="1:17" x14ac:dyDescent="0.3">
      <c r="B31" s="164"/>
      <c r="C31" s="165"/>
      <c r="D31" s="166"/>
      <c r="E31" s="167"/>
      <c r="F31" s="168"/>
      <c r="G31" s="167"/>
      <c r="H31" s="168"/>
      <c r="I31" s="167"/>
      <c r="J31" s="168"/>
      <c r="K31" s="167"/>
      <c r="L31" s="168"/>
      <c r="M31" s="167"/>
      <c r="N31" s="168"/>
      <c r="O31" s="167"/>
      <c r="P31" s="168"/>
      <c r="Q31" s="166"/>
    </row>
    <row r="32" spans="1:17" x14ac:dyDescent="0.3">
      <c r="B32" s="164"/>
      <c r="C32" s="165"/>
      <c r="D32" s="166"/>
      <c r="E32" s="167"/>
      <c r="F32" s="168"/>
      <c r="G32" s="167"/>
      <c r="H32" s="168"/>
      <c r="I32" s="167"/>
      <c r="J32" s="168"/>
      <c r="K32" s="167"/>
      <c r="L32" s="168"/>
      <c r="M32" s="167"/>
      <c r="N32" s="168"/>
      <c r="O32" s="167"/>
      <c r="P32" s="168"/>
      <c r="Q32" s="166"/>
    </row>
    <row r="33" spans="2:17" x14ac:dyDescent="0.3">
      <c r="B33" s="164"/>
      <c r="C33" s="165"/>
      <c r="D33" s="166"/>
      <c r="E33" s="167"/>
      <c r="F33" s="168"/>
      <c r="G33" s="167"/>
      <c r="H33" s="168"/>
      <c r="I33" s="167"/>
      <c r="J33" s="168"/>
      <c r="K33" s="167"/>
      <c r="L33" s="168"/>
      <c r="M33" s="167"/>
      <c r="N33" s="168"/>
      <c r="O33" s="167"/>
      <c r="P33" s="168"/>
      <c r="Q33" s="166"/>
    </row>
    <row r="34" spans="2:17" ht="23.4" x14ac:dyDescent="0.45">
      <c r="B34" s="219" t="s">
        <v>342</v>
      </c>
      <c r="C34" s="165"/>
      <c r="D34" s="166"/>
      <c r="E34" s="167"/>
      <c r="F34" s="168"/>
      <c r="G34" s="167"/>
      <c r="H34" s="168"/>
      <c r="I34" s="167"/>
      <c r="J34" s="168"/>
      <c r="K34" s="167"/>
      <c r="L34" s="168"/>
      <c r="M34" s="167"/>
      <c r="N34" s="168"/>
      <c r="O34" s="167"/>
      <c r="P34" s="168"/>
      <c r="Q34" s="166"/>
    </row>
    <row r="35" spans="2:17" s="34" customFormat="1" ht="30.75" customHeight="1" x14ac:dyDescent="0.3">
      <c r="B35" s="156"/>
      <c r="C35" s="155"/>
      <c r="D35" s="224" t="s">
        <v>336</v>
      </c>
      <c r="E35" s="160" t="s">
        <v>262</v>
      </c>
      <c r="F35" s="160" t="s">
        <v>281</v>
      </c>
      <c r="G35" s="160" t="s">
        <v>282</v>
      </c>
      <c r="H35" s="160" t="s">
        <v>283</v>
      </c>
      <c r="I35" s="160" t="s">
        <v>284</v>
      </c>
      <c r="J35" s="160" t="s">
        <v>285</v>
      </c>
      <c r="K35" s="160" t="s">
        <v>286</v>
      </c>
      <c r="L35" s="160" t="s">
        <v>287</v>
      </c>
      <c r="M35" s="160" t="s">
        <v>288</v>
      </c>
      <c r="N35" s="160" t="s">
        <v>289</v>
      </c>
      <c r="O35" s="160" t="s">
        <v>290</v>
      </c>
      <c r="P35" s="160" t="s">
        <v>291</v>
      </c>
      <c r="Q35" s="160" t="s">
        <v>295</v>
      </c>
    </row>
    <row r="36" spans="2:17" x14ac:dyDescent="0.3">
      <c r="B36" s="225" t="s">
        <v>339</v>
      </c>
      <c r="C36" s="28" t="s">
        <v>335</v>
      </c>
      <c r="D36" s="28"/>
      <c r="E36" s="33"/>
      <c r="F36" s="138"/>
      <c r="G36" s="33"/>
      <c r="H36" s="138"/>
      <c r="I36" s="33"/>
      <c r="J36" s="138"/>
      <c r="K36" s="33"/>
      <c r="L36" s="138"/>
      <c r="M36" s="33"/>
      <c r="N36" s="138"/>
      <c r="O36" s="33"/>
      <c r="P36" s="138"/>
      <c r="Q36" s="28">
        <f>+SUM(E36:P36)</f>
        <v>0</v>
      </c>
    </row>
    <row r="37" spans="2:17" x14ac:dyDescent="0.3">
      <c r="B37" s="225"/>
      <c r="C37" s="28"/>
      <c r="D37" s="28"/>
      <c r="E37" s="33"/>
      <c r="F37" s="138"/>
      <c r="G37" s="33"/>
      <c r="H37" s="138"/>
      <c r="I37" s="33"/>
      <c r="J37" s="138"/>
      <c r="K37" s="33"/>
      <c r="L37" s="138"/>
      <c r="M37" s="33"/>
      <c r="N37" s="138"/>
      <c r="O37" s="33"/>
      <c r="P37" s="138"/>
      <c r="Q37" s="28">
        <f>+SUM(E37:P37)</f>
        <v>0</v>
      </c>
    </row>
    <row r="38" spans="2:17" x14ac:dyDescent="0.3">
      <c r="B38" s="225" t="s">
        <v>337</v>
      </c>
      <c r="C38" s="28" t="s">
        <v>338</v>
      </c>
      <c r="D38" s="28"/>
      <c r="E38" s="33"/>
      <c r="F38" s="138"/>
      <c r="G38" s="33"/>
      <c r="H38" s="138"/>
      <c r="I38" s="33"/>
      <c r="J38" s="138"/>
      <c r="K38" s="33"/>
      <c r="L38" s="138"/>
      <c r="M38" s="33"/>
      <c r="N38" s="138"/>
      <c r="O38" s="33"/>
      <c r="P38" s="138"/>
      <c r="Q38" s="28">
        <f>+SUM(E38:P38)</f>
        <v>0</v>
      </c>
    </row>
    <row r="39" spans="2:17" x14ac:dyDescent="0.3">
      <c r="B39" s="225"/>
      <c r="C39" s="28"/>
      <c r="D39" s="28"/>
      <c r="E39" s="33"/>
      <c r="F39" s="138"/>
      <c r="G39" s="33"/>
      <c r="H39" s="138"/>
      <c r="I39" s="33"/>
      <c r="J39" s="138"/>
      <c r="K39" s="33"/>
      <c r="L39" s="138"/>
      <c r="M39" s="33"/>
      <c r="N39" s="138"/>
      <c r="O39" s="33"/>
      <c r="P39" s="138"/>
      <c r="Q39" s="28">
        <f>+SUM(E39:P39)</f>
        <v>0</v>
      </c>
    </row>
    <row r="40" spans="2:17" x14ac:dyDescent="0.3">
      <c r="B40" s="225" t="s">
        <v>340</v>
      </c>
      <c r="C40" s="28" t="s">
        <v>341</v>
      </c>
      <c r="D40" s="28"/>
      <c r="E40" s="33"/>
      <c r="F40" s="138"/>
      <c r="G40" s="33"/>
      <c r="H40" s="138"/>
      <c r="I40" s="33"/>
      <c r="J40" s="138"/>
      <c r="K40" s="33"/>
      <c r="L40" s="138"/>
      <c r="M40" s="33"/>
      <c r="N40" s="138"/>
      <c r="O40" s="33"/>
      <c r="P40" s="138"/>
      <c r="Q40" s="28">
        <f>+SUM(E40:P40)</f>
        <v>0</v>
      </c>
    </row>
    <row r="41" spans="2:17" x14ac:dyDescent="0.3">
      <c r="B41" s="225"/>
      <c r="C41" s="28"/>
      <c r="D41" s="28"/>
      <c r="E41" s="33"/>
      <c r="F41" s="138"/>
      <c r="G41" s="33"/>
      <c r="H41" s="138"/>
      <c r="I41" s="33"/>
      <c r="J41" s="138"/>
      <c r="K41" s="33"/>
      <c r="L41" s="138"/>
      <c r="M41" s="33"/>
      <c r="N41" s="138"/>
      <c r="O41" s="33"/>
      <c r="P41" s="138"/>
      <c r="Q41" s="28"/>
    </row>
    <row r="42" spans="2:17" x14ac:dyDescent="0.3">
      <c r="B42" s="225"/>
      <c r="C42" s="28"/>
      <c r="D42" s="28"/>
      <c r="E42" s="33"/>
      <c r="F42" s="138"/>
      <c r="G42" s="33"/>
      <c r="H42" s="138"/>
      <c r="I42" s="33"/>
      <c r="J42" s="138"/>
      <c r="K42" s="33"/>
      <c r="L42" s="138"/>
      <c r="M42" s="33"/>
      <c r="N42" s="138"/>
      <c r="O42" s="33"/>
      <c r="P42" s="138"/>
      <c r="Q42" s="28"/>
    </row>
    <row r="43" spans="2:17" x14ac:dyDescent="0.3">
      <c r="B43" s="225"/>
      <c r="C43" s="28"/>
      <c r="D43" s="28"/>
      <c r="E43" s="33"/>
      <c r="F43" s="138"/>
      <c r="G43" s="33"/>
      <c r="H43" s="138"/>
      <c r="I43" s="33"/>
      <c r="J43" s="138"/>
      <c r="K43" s="33"/>
      <c r="L43" s="138"/>
      <c r="M43" s="33"/>
      <c r="N43" s="138"/>
      <c r="O43" s="33"/>
      <c r="P43" s="138"/>
      <c r="Q43" s="28"/>
    </row>
    <row r="44" spans="2:17" x14ac:dyDescent="0.3">
      <c r="B44" s="225"/>
      <c r="C44" s="28"/>
      <c r="D44" s="28"/>
      <c r="E44" s="33"/>
      <c r="F44" s="138"/>
      <c r="G44" s="33"/>
      <c r="H44" s="138"/>
      <c r="I44" s="33"/>
      <c r="J44" s="138"/>
      <c r="K44" s="33"/>
      <c r="L44" s="138"/>
      <c r="M44" s="33"/>
      <c r="N44" s="138"/>
      <c r="O44" s="33"/>
      <c r="P44" s="138"/>
      <c r="Q44" s="28">
        <f>+SUM(E44:P44)</f>
        <v>0</v>
      </c>
    </row>
    <row r="45" spans="2:17" x14ac:dyDescent="0.3">
      <c r="B45" s="225"/>
      <c r="C45" s="28"/>
      <c r="D45" s="28"/>
      <c r="E45" s="33"/>
      <c r="F45" s="138"/>
      <c r="G45" s="33"/>
      <c r="H45" s="138"/>
      <c r="I45" s="33"/>
      <c r="J45" s="138"/>
      <c r="K45" s="33"/>
      <c r="L45" s="138"/>
      <c r="M45" s="33"/>
      <c r="N45" s="138"/>
      <c r="O45" s="33"/>
      <c r="P45" s="138"/>
      <c r="Q45" s="28">
        <f>+SUM(E45:P45)</f>
        <v>0</v>
      </c>
    </row>
    <row r="46" spans="2:17" x14ac:dyDescent="0.3">
      <c r="B46" s="225"/>
      <c r="C46" s="28"/>
      <c r="D46" s="28"/>
      <c r="E46" s="33"/>
      <c r="F46" s="138"/>
      <c r="G46" s="33"/>
      <c r="H46" s="138"/>
      <c r="I46" s="33"/>
      <c r="J46" s="138"/>
      <c r="K46" s="33"/>
      <c r="L46" s="138"/>
      <c r="M46" s="33"/>
      <c r="N46" s="138"/>
      <c r="O46" s="33"/>
      <c r="P46" s="138"/>
      <c r="Q46" s="28">
        <f>+SUM(E46:P46)</f>
        <v>0</v>
      </c>
    </row>
    <row r="47" spans="2:17" ht="18" x14ac:dyDescent="0.35">
      <c r="B47" s="55"/>
      <c r="C47" s="57" t="s">
        <v>153</v>
      </c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184" spans="1:1" x14ac:dyDescent="0.3">
      <c r="A184">
        <v>1</v>
      </c>
    </row>
    <row r="185" spans="1:1" x14ac:dyDescent="0.3">
      <c r="A185">
        <v>1</v>
      </c>
    </row>
  </sheetData>
  <protectedRanges>
    <protectedRange password="C0D7" sqref="C10:C11 B13:B14 C13:D13 D12 C14 B9 D9 B7 D7 B20:D20 B16 B21:C21 B23 B27:D28 B30:D33 B29:C29 C17:C18 C24:C25 D19 D16 D26 D23 B36:D46 C34:D34" name="Lançamentos_1"/>
    <protectedRange password="C0D7" sqref="B8:D8 B10:B11 D10:D11 C7 B15:D15 B17:B18 B22:D22 B24:B25 D17:D18 D24:D25" name="Lançamentos_1_3"/>
    <protectedRange password="C0D7" sqref="B12:C12 B19:C19 B26:C26" name="Lançamentos_1_2"/>
  </protectedRanges>
  <mergeCells count="1">
    <mergeCell ref="C1:D1"/>
  </mergeCells>
  <pageMargins left="0.23622047244094491" right="0.23622047244094491" top="0.35433070866141736" bottom="0.35433070866141736" header="0.31496062992125984" footer="0.31496062992125984"/>
  <pageSetup paperSize="9" scale="72" orientation="landscape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20">
    <pageSetUpPr fitToPage="1"/>
  </sheetPr>
  <dimension ref="B1:L2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" sqref="K2"/>
    </sheetView>
  </sheetViews>
  <sheetFormatPr defaultRowHeight="14.4" x14ac:dyDescent="0.3"/>
  <cols>
    <col min="1" max="1" width="2.6640625" customWidth="1"/>
    <col min="2" max="2" width="11.109375" customWidth="1"/>
    <col min="10" max="10" width="13.6640625" customWidth="1"/>
    <col min="11" max="11" width="9.109375" customWidth="1"/>
  </cols>
  <sheetData>
    <row r="1" spans="2:12" ht="55.5" customHeight="1" x14ac:dyDescent="0.5">
      <c r="B1" s="77"/>
      <c r="C1" s="62" t="s">
        <v>0</v>
      </c>
      <c r="D1" s="78"/>
      <c r="E1" s="17"/>
      <c r="F1" s="17"/>
      <c r="G1" s="63"/>
      <c r="H1" s="63"/>
      <c r="I1" s="64"/>
      <c r="J1" s="65"/>
      <c r="L1" s="65"/>
    </row>
    <row r="2" spans="2:12" s="140" customFormat="1" ht="23.4" x14ac:dyDescent="0.45">
      <c r="B2" s="140" t="s">
        <v>267</v>
      </c>
      <c r="K2" s="141">
        <f>+Instruções!I19</f>
        <v>2026</v>
      </c>
    </row>
  </sheetData>
  <pageMargins left="0.23622047244094491" right="0.23622047244094491" top="0.35433070866141736" bottom="0.35433070866141736" header="0.31496062992125984" footer="0.31496062992125984"/>
  <pageSetup paperSize="9" scale="8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">
    <pageSetUpPr fitToPage="1"/>
  </sheetPr>
  <dimension ref="B1:G79"/>
  <sheetViews>
    <sheetView showGridLines="0" topLeftCell="A43" workbookViewId="0">
      <selection activeCell="D66" sqref="D66"/>
    </sheetView>
  </sheetViews>
  <sheetFormatPr defaultRowHeight="18" x14ac:dyDescent="0.35"/>
  <cols>
    <col min="1" max="1" width="4.33203125" customWidth="1"/>
    <col min="2" max="2" width="8.44140625" style="20" customWidth="1"/>
    <col min="3" max="3" width="18" customWidth="1"/>
    <col min="4" max="4" width="49.6640625" customWidth="1"/>
    <col min="5" max="5" width="3.33203125" customWidth="1"/>
    <col min="6" max="6" width="54.88671875" customWidth="1"/>
  </cols>
  <sheetData>
    <row r="1" spans="2:7" ht="72.75" customHeight="1" x14ac:dyDescent="0.35">
      <c r="C1" s="287" t="s">
        <v>82</v>
      </c>
      <c r="D1" s="287"/>
      <c r="E1" s="287"/>
      <c r="F1" s="287"/>
    </row>
    <row r="2" spans="2:7" s="34" customFormat="1" x14ac:dyDescent="0.35">
      <c r="B2" s="47" t="s">
        <v>145</v>
      </c>
      <c r="C2" s="112" t="s">
        <v>146</v>
      </c>
      <c r="D2" s="112" t="s">
        <v>149</v>
      </c>
      <c r="E2" s="112"/>
      <c r="F2" s="112"/>
    </row>
    <row r="3" spans="2:7" s="34" customFormat="1" x14ac:dyDescent="0.35">
      <c r="B3" s="47">
        <v>0</v>
      </c>
      <c r="C3" s="112" t="s">
        <v>167</v>
      </c>
      <c r="D3" s="112" t="s">
        <v>168</v>
      </c>
      <c r="E3" s="112"/>
      <c r="F3" s="112" t="s">
        <v>243</v>
      </c>
    </row>
    <row r="4" spans="2:7" x14ac:dyDescent="0.35">
      <c r="B4" s="48" t="s">
        <v>85</v>
      </c>
      <c r="C4" s="113" t="s">
        <v>84</v>
      </c>
      <c r="D4" s="117" t="s">
        <v>7</v>
      </c>
      <c r="E4" s="121"/>
      <c r="F4" s="122" t="s">
        <v>169</v>
      </c>
      <c r="G4" t="s">
        <v>84</v>
      </c>
    </row>
    <row r="5" spans="2:7" x14ac:dyDescent="0.35">
      <c r="B5" s="48" t="s">
        <v>86</v>
      </c>
      <c r="C5" s="114" t="s">
        <v>84</v>
      </c>
      <c r="D5" s="118" t="s">
        <v>8</v>
      </c>
      <c r="E5" s="121"/>
      <c r="F5" s="121" t="s">
        <v>170</v>
      </c>
    </row>
    <row r="6" spans="2:7" x14ac:dyDescent="0.35">
      <c r="B6" s="48" t="s">
        <v>87</v>
      </c>
      <c r="C6" s="114" t="s">
        <v>84</v>
      </c>
      <c r="D6" s="118" t="s">
        <v>9</v>
      </c>
      <c r="E6" s="121"/>
      <c r="F6" s="121" t="s">
        <v>171</v>
      </c>
    </row>
    <row r="7" spans="2:7" x14ac:dyDescent="0.35">
      <c r="B7" s="48" t="s">
        <v>88</v>
      </c>
      <c r="C7" s="114" t="s">
        <v>84</v>
      </c>
      <c r="D7" s="118" t="s">
        <v>10</v>
      </c>
      <c r="E7" s="121"/>
      <c r="F7" s="121" t="s">
        <v>172</v>
      </c>
    </row>
    <row r="8" spans="2:7" x14ac:dyDescent="0.35">
      <c r="B8" s="48" t="s">
        <v>89</v>
      </c>
      <c r="C8" s="114" t="s">
        <v>84</v>
      </c>
      <c r="D8" s="118" t="s">
        <v>163</v>
      </c>
      <c r="E8" s="121"/>
      <c r="F8" s="121" t="s">
        <v>173</v>
      </c>
    </row>
    <row r="9" spans="2:7" x14ac:dyDescent="0.35">
      <c r="B9" s="48" t="s">
        <v>90</v>
      </c>
      <c r="C9" s="114" t="s">
        <v>84</v>
      </c>
      <c r="D9" s="118" t="s">
        <v>80</v>
      </c>
      <c r="E9" s="121"/>
      <c r="F9" s="121" t="s">
        <v>174</v>
      </c>
    </row>
    <row r="10" spans="2:7" x14ac:dyDescent="0.35">
      <c r="B10" s="47" t="s">
        <v>91</v>
      </c>
      <c r="C10" s="115" t="s">
        <v>13</v>
      </c>
      <c r="D10" s="119" t="s">
        <v>14</v>
      </c>
      <c r="E10" s="121"/>
      <c r="F10" s="121" t="s">
        <v>175</v>
      </c>
      <c r="G10" t="s">
        <v>400</v>
      </c>
    </row>
    <row r="11" spans="2:7" x14ac:dyDescent="0.35">
      <c r="B11" s="47" t="s">
        <v>92</v>
      </c>
      <c r="C11" s="115" t="s">
        <v>13</v>
      </c>
      <c r="D11" s="119" t="s">
        <v>15</v>
      </c>
      <c r="E11" s="121"/>
      <c r="F11" s="121" t="s">
        <v>176</v>
      </c>
    </row>
    <row r="12" spans="2:7" x14ac:dyDescent="0.35">
      <c r="B12" s="47" t="s">
        <v>93</v>
      </c>
      <c r="C12" s="115" t="s">
        <v>13</v>
      </c>
      <c r="D12" s="119" t="s">
        <v>16</v>
      </c>
      <c r="E12" s="121"/>
      <c r="F12" s="121" t="s">
        <v>177</v>
      </c>
    </row>
    <row r="13" spans="2:7" x14ac:dyDescent="0.35">
      <c r="B13" s="47" t="s">
        <v>94</v>
      </c>
      <c r="C13" s="115" t="s">
        <v>13</v>
      </c>
      <c r="D13" s="119" t="s">
        <v>76</v>
      </c>
      <c r="E13" s="121"/>
      <c r="F13" s="121" t="s">
        <v>178</v>
      </c>
    </row>
    <row r="14" spans="2:7" x14ac:dyDescent="0.35">
      <c r="B14" s="47" t="s">
        <v>95</v>
      </c>
      <c r="C14" s="115" t="s">
        <v>13</v>
      </c>
      <c r="D14" s="119" t="s">
        <v>232</v>
      </c>
      <c r="E14" s="121"/>
      <c r="F14" s="121" t="s">
        <v>179</v>
      </c>
    </row>
    <row r="15" spans="2:7" x14ac:dyDescent="0.35">
      <c r="B15" s="47" t="s">
        <v>96</v>
      </c>
      <c r="C15" s="116" t="s">
        <v>17</v>
      </c>
      <c r="D15" s="120" t="s">
        <v>73</v>
      </c>
      <c r="E15" s="121"/>
      <c r="F15" s="121" t="s">
        <v>180</v>
      </c>
    </row>
    <row r="16" spans="2:7" x14ac:dyDescent="0.35">
      <c r="B16" s="47" t="s">
        <v>97</v>
      </c>
      <c r="C16" s="116" t="s">
        <v>17</v>
      </c>
      <c r="D16" s="120" t="s">
        <v>18</v>
      </c>
      <c r="E16" s="121"/>
      <c r="F16" s="121" t="s">
        <v>181</v>
      </c>
    </row>
    <row r="17" spans="2:6" x14ac:dyDescent="0.35">
      <c r="B17" s="47" t="s">
        <v>98</v>
      </c>
      <c r="C17" s="116" t="s">
        <v>17</v>
      </c>
      <c r="D17" s="120" t="s">
        <v>147</v>
      </c>
      <c r="E17" s="121"/>
      <c r="F17" s="121" t="s">
        <v>182</v>
      </c>
    </row>
    <row r="18" spans="2:6" x14ac:dyDescent="0.35">
      <c r="B18" s="47" t="s">
        <v>99</v>
      </c>
      <c r="C18" s="116" t="s">
        <v>17</v>
      </c>
      <c r="D18" s="120" t="s">
        <v>231</v>
      </c>
      <c r="E18" s="121"/>
      <c r="F18" s="121" t="s">
        <v>230</v>
      </c>
    </row>
    <row r="19" spans="2:6" x14ac:dyDescent="0.35">
      <c r="B19" s="47" t="s">
        <v>100</v>
      </c>
      <c r="C19" s="116" t="s">
        <v>17</v>
      </c>
      <c r="D19" s="120" t="s">
        <v>20</v>
      </c>
      <c r="E19" s="121"/>
      <c r="F19" s="121" t="s">
        <v>183</v>
      </c>
    </row>
    <row r="20" spans="2:6" x14ac:dyDescent="0.35">
      <c r="B20" s="47" t="s">
        <v>101</v>
      </c>
      <c r="C20" s="116" t="s">
        <v>17</v>
      </c>
      <c r="D20" s="120" t="s">
        <v>21</v>
      </c>
      <c r="E20" s="121"/>
      <c r="F20" s="121" t="s">
        <v>184</v>
      </c>
    </row>
    <row r="21" spans="2:6" x14ac:dyDescent="0.35">
      <c r="B21" s="47" t="s">
        <v>102</v>
      </c>
      <c r="C21" s="116" t="s">
        <v>17</v>
      </c>
      <c r="D21" s="120" t="s">
        <v>22</v>
      </c>
      <c r="E21" s="121"/>
      <c r="F21" s="121" t="s">
        <v>185</v>
      </c>
    </row>
    <row r="22" spans="2:6" x14ac:dyDescent="0.35">
      <c r="B22" s="47" t="s">
        <v>103</v>
      </c>
      <c r="C22" s="116" t="s">
        <v>17</v>
      </c>
      <c r="D22" s="120" t="s">
        <v>74</v>
      </c>
      <c r="E22" s="121"/>
      <c r="F22" s="121" t="s">
        <v>186</v>
      </c>
    </row>
    <row r="23" spans="2:6" x14ac:dyDescent="0.35">
      <c r="B23" s="47" t="s">
        <v>104</v>
      </c>
      <c r="C23" s="116" t="s">
        <v>17</v>
      </c>
      <c r="D23" s="120" t="s">
        <v>75</v>
      </c>
      <c r="E23" s="121"/>
      <c r="F23" s="121" t="s">
        <v>187</v>
      </c>
    </row>
    <row r="24" spans="2:6" x14ac:dyDescent="0.35">
      <c r="B24" s="47" t="s">
        <v>396</v>
      </c>
      <c r="C24" s="116" t="s">
        <v>17</v>
      </c>
      <c r="D24" s="120" t="s">
        <v>27</v>
      </c>
      <c r="E24" s="121"/>
      <c r="F24" s="121" t="s">
        <v>385</v>
      </c>
    </row>
    <row r="25" spans="2:6" x14ac:dyDescent="0.35">
      <c r="B25" s="47" t="s">
        <v>397</v>
      </c>
      <c r="C25" s="116" t="s">
        <v>17</v>
      </c>
      <c r="D25" s="120" t="s">
        <v>19</v>
      </c>
      <c r="E25" s="121"/>
      <c r="F25" s="121" t="s">
        <v>386</v>
      </c>
    </row>
    <row r="26" spans="2:6" x14ac:dyDescent="0.35">
      <c r="B26" s="47" t="s">
        <v>398</v>
      </c>
      <c r="C26" s="116" t="s">
        <v>17</v>
      </c>
      <c r="D26" s="120" t="s">
        <v>384</v>
      </c>
      <c r="E26" s="121"/>
      <c r="F26" s="121" t="s">
        <v>387</v>
      </c>
    </row>
    <row r="27" spans="2:6" x14ac:dyDescent="0.35">
      <c r="B27" s="47" t="s">
        <v>105</v>
      </c>
      <c r="C27" s="116" t="s">
        <v>23</v>
      </c>
      <c r="D27" s="120" t="s">
        <v>79</v>
      </c>
      <c r="E27" s="121"/>
      <c r="F27" s="121" t="s">
        <v>188</v>
      </c>
    </row>
    <row r="28" spans="2:6" x14ac:dyDescent="0.35">
      <c r="B28" s="47" t="s">
        <v>106</v>
      </c>
      <c r="C28" s="116" t="s">
        <v>23</v>
      </c>
      <c r="D28" s="120" t="s">
        <v>24</v>
      </c>
      <c r="E28" s="121"/>
      <c r="F28" s="121" t="s">
        <v>189</v>
      </c>
    </row>
    <row r="29" spans="2:6" x14ac:dyDescent="0.35">
      <c r="B29" s="47" t="s">
        <v>107</v>
      </c>
      <c r="C29" s="116" t="s">
        <v>23</v>
      </c>
      <c r="D29" s="120" t="s">
        <v>25</v>
      </c>
      <c r="E29" s="121"/>
      <c r="F29" s="121" t="s">
        <v>190</v>
      </c>
    </row>
    <row r="30" spans="2:6" x14ac:dyDescent="0.35">
      <c r="B30" s="47" t="s">
        <v>108</v>
      </c>
      <c r="C30" s="116" t="s">
        <v>23</v>
      </c>
      <c r="D30" s="120" t="s">
        <v>26</v>
      </c>
      <c r="E30" s="121"/>
      <c r="F30" s="121" t="s">
        <v>191</v>
      </c>
    </row>
    <row r="31" spans="2:6" x14ac:dyDescent="0.35">
      <c r="B31" s="47" t="s">
        <v>109</v>
      </c>
      <c r="C31" s="116" t="s">
        <v>388</v>
      </c>
      <c r="D31" s="120" t="s">
        <v>399</v>
      </c>
      <c r="E31" s="121"/>
      <c r="F31" s="121" t="s">
        <v>391</v>
      </c>
    </row>
    <row r="32" spans="2:6" x14ac:dyDescent="0.35">
      <c r="B32" s="47" t="s">
        <v>110</v>
      </c>
      <c r="C32" s="116" t="s">
        <v>388</v>
      </c>
      <c r="D32" s="120" t="s">
        <v>389</v>
      </c>
      <c r="E32" s="121"/>
      <c r="F32" s="121" t="s">
        <v>392</v>
      </c>
    </row>
    <row r="33" spans="2:6" x14ac:dyDescent="0.35">
      <c r="B33" s="47" t="s">
        <v>111</v>
      </c>
      <c r="C33" s="116" t="s">
        <v>388</v>
      </c>
      <c r="D33" s="120" t="s">
        <v>393</v>
      </c>
      <c r="E33" s="121"/>
      <c r="F33" s="121" t="s">
        <v>394</v>
      </c>
    </row>
    <row r="34" spans="2:6" x14ac:dyDescent="0.35">
      <c r="B34" s="47" t="s">
        <v>112</v>
      </c>
      <c r="C34" s="116" t="s">
        <v>388</v>
      </c>
      <c r="D34" s="120" t="s">
        <v>390</v>
      </c>
      <c r="E34" s="121"/>
      <c r="F34" s="121" t="s">
        <v>395</v>
      </c>
    </row>
    <row r="35" spans="2:6" x14ac:dyDescent="0.35">
      <c r="B35" s="47" t="s">
        <v>113</v>
      </c>
      <c r="C35" s="116" t="s">
        <v>28</v>
      </c>
      <c r="D35" s="120" t="s">
        <v>29</v>
      </c>
      <c r="E35" s="121"/>
      <c r="F35" s="121" t="s">
        <v>192</v>
      </c>
    </row>
    <row r="36" spans="2:6" x14ac:dyDescent="0.35">
      <c r="B36" s="47" t="s">
        <v>114</v>
      </c>
      <c r="C36" s="116" t="s">
        <v>28</v>
      </c>
      <c r="D36" s="120" t="s">
        <v>30</v>
      </c>
      <c r="E36" s="121"/>
      <c r="F36" s="121" t="s">
        <v>193</v>
      </c>
    </row>
    <row r="37" spans="2:6" x14ac:dyDescent="0.35">
      <c r="B37" s="47" t="s">
        <v>115</v>
      </c>
      <c r="C37" s="116" t="s">
        <v>28</v>
      </c>
      <c r="D37" s="120" t="s">
        <v>31</v>
      </c>
      <c r="E37" s="121"/>
      <c r="F37" s="121" t="s">
        <v>194</v>
      </c>
    </row>
    <row r="38" spans="2:6" x14ac:dyDescent="0.35">
      <c r="B38" s="47" t="s">
        <v>116</v>
      </c>
      <c r="C38" s="116" t="s">
        <v>28</v>
      </c>
      <c r="D38" s="120" t="s">
        <v>229</v>
      </c>
      <c r="E38" s="121"/>
      <c r="F38" s="121" t="s">
        <v>197</v>
      </c>
    </row>
    <row r="39" spans="2:6" x14ac:dyDescent="0.35">
      <c r="B39" s="47" t="s">
        <v>117</v>
      </c>
      <c r="C39" s="115" t="s">
        <v>28</v>
      </c>
      <c r="D39" s="119" t="s">
        <v>228</v>
      </c>
      <c r="E39" s="121"/>
      <c r="F39" s="121" t="s">
        <v>195</v>
      </c>
    </row>
    <row r="40" spans="2:6" x14ac:dyDescent="0.35">
      <c r="B40" s="47" t="s">
        <v>118</v>
      </c>
      <c r="C40" s="116" t="s">
        <v>28</v>
      </c>
      <c r="D40" s="120" t="s">
        <v>227</v>
      </c>
      <c r="E40" s="121"/>
      <c r="F40" s="121" t="s">
        <v>196</v>
      </c>
    </row>
    <row r="41" spans="2:6" x14ac:dyDescent="0.35">
      <c r="B41" s="47" t="s">
        <v>119</v>
      </c>
      <c r="C41" s="116" t="s">
        <v>32</v>
      </c>
      <c r="D41" s="120" t="s">
        <v>33</v>
      </c>
      <c r="E41" s="121"/>
      <c r="F41" s="121" t="s">
        <v>198</v>
      </c>
    </row>
    <row r="42" spans="2:6" x14ac:dyDescent="0.35">
      <c r="B42" s="47" t="s">
        <v>120</v>
      </c>
      <c r="C42" s="116" t="s">
        <v>32</v>
      </c>
      <c r="D42" s="120" t="s">
        <v>34</v>
      </c>
      <c r="E42" s="121"/>
      <c r="F42" s="121" t="s">
        <v>199</v>
      </c>
    </row>
    <row r="43" spans="2:6" x14ac:dyDescent="0.35">
      <c r="B43" s="47" t="s">
        <v>121</v>
      </c>
      <c r="C43" s="116" t="s">
        <v>32</v>
      </c>
      <c r="D43" s="120" t="s">
        <v>35</v>
      </c>
      <c r="E43" s="121"/>
      <c r="F43" s="121" t="s">
        <v>200</v>
      </c>
    </row>
    <row r="44" spans="2:6" x14ac:dyDescent="0.35">
      <c r="B44" s="47" t="s">
        <v>122</v>
      </c>
      <c r="C44" s="116" t="s">
        <v>32</v>
      </c>
      <c r="D44" s="120" t="s">
        <v>36</v>
      </c>
      <c r="E44" s="121"/>
      <c r="F44" s="121" t="s">
        <v>201</v>
      </c>
    </row>
    <row r="45" spans="2:6" x14ac:dyDescent="0.35">
      <c r="B45" s="47" t="s">
        <v>123</v>
      </c>
      <c r="C45" s="116" t="s">
        <v>32</v>
      </c>
      <c r="D45" s="120" t="s">
        <v>165</v>
      </c>
      <c r="E45" s="121"/>
      <c r="F45" s="121" t="s">
        <v>202</v>
      </c>
    </row>
    <row r="46" spans="2:6" x14ac:dyDescent="0.35">
      <c r="B46" s="47" t="s">
        <v>124</v>
      </c>
      <c r="C46" s="116" t="s">
        <v>32</v>
      </c>
      <c r="D46" s="120" t="s">
        <v>226</v>
      </c>
      <c r="E46" s="121"/>
      <c r="F46" s="121" t="s">
        <v>203</v>
      </c>
    </row>
    <row r="47" spans="2:6" x14ac:dyDescent="0.35">
      <c r="B47" s="47" t="s">
        <v>125</v>
      </c>
      <c r="C47" s="116" t="s">
        <v>32</v>
      </c>
      <c r="D47" s="120" t="s">
        <v>37</v>
      </c>
      <c r="E47" s="121"/>
      <c r="F47" s="121" t="s">
        <v>204</v>
      </c>
    </row>
    <row r="48" spans="2:6" x14ac:dyDescent="0.35">
      <c r="B48" s="47" t="s">
        <v>126</v>
      </c>
      <c r="C48" s="116" t="s">
        <v>32</v>
      </c>
      <c r="D48" s="120" t="s">
        <v>38</v>
      </c>
      <c r="E48" s="121"/>
      <c r="F48" s="121" t="s">
        <v>205</v>
      </c>
    </row>
    <row r="49" spans="2:6" x14ac:dyDescent="0.35">
      <c r="B49" s="47" t="s">
        <v>127</v>
      </c>
      <c r="C49" s="116" t="s">
        <v>32</v>
      </c>
      <c r="D49" s="120" t="s">
        <v>39</v>
      </c>
      <c r="E49" s="121"/>
      <c r="F49" s="121" t="s">
        <v>206</v>
      </c>
    </row>
    <row r="50" spans="2:6" x14ac:dyDescent="0.35">
      <c r="B50" s="47" t="s">
        <v>128</v>
      </c>
      <c r="C50" s="116" t="s">
        <v>40</v>
      </c>
      <c r="D50" s="120" t="s">
        <v>220</v>
      </c>
      <c r="E50" s="121"/>
      <c r="F50" s="121" t="s">
        <v>207</v>
      </c>
    </row>
    <row r="51" spans="2:6" x14ac:dyDescent="0.35">
      <c r="B51" s="47" t="s">
        <v>129</v>
      </c>
      <c r="C51" s="116" t="s">
        <v>40</v>
      </c>
      <c r="D51" s="120" t="s">
        <v>221</v>
      </c>
      <c r="E51" s="121"/>
      <c r="F51" s="121" t="s">
        <v>208</v>
      </c>
    </row>
    <row r="52" spans="2:6" x14ac:dyDescent="0.35">
      <c r="B52" s="47" t="s">
        <v>130</v>
      </c>
      <c r="C52" s="116" t="s">
        <v>40</v>
      </c>
      <c r="D52" s="120" t="s">
        <v>41</v>
      </c>
      <c r="E52" s="121"/>
      <c r="F52" s="121" t="s">
        <v>209</v>
      </c>
    </row>
    <row r="53" spans="2:6" x14ac:dyDescent="0.35">
      <c r="B53" s="47" t="s">
        <v>131</v>
      </c>
      <c r="C53" s="116" t="s">
        <v>40</v>
      </c>
      <c r="D53" s="120" t="s">
        <v>42</v>
      </c>
      <c r="E53" s="121"/>
      <c r="F53" s="121" t="s">
        <v>210</v>
      </c>
    </row>
    <row r="54" spans="2:6" x14ac:dyDescent="0.35">
      <c r="B54" s="47" t="s">
        <v>132</v>
      </c>
      <c r="C54" s="116" t="s">
        <v>43</v>
      </c>
      <c r="D54" s="120" t="s">
        <v>222</v>
      </c>
      <c r="E54" s="121"/>
      <c r="F54" s="121" t="s">
        <v>219</v>
      </c>
    </row>
    <row r="55" spans="2:6" x14ac:dyDescent="0.35">
      <c r="B55" s="47" t="s">
        <v>133</v>
      </c>
      <c r="C55" s="116" t="s">
        <v>43</v>
      </c>
      <c r="D55" s="120" t="s">
        <v>44</v>
      </c>
      <c r="E55" s="121"/>
      <c r="F55" s="121" t="s">
        <v>211</v>
      </c>
    </row>
    <row r="56" spans="2:6" x14ac:dyDescent="0.35">
      <c r="B56" s="47" t="s">
        <v>134</v>
      </c>
      <c r="C56" s="116" t="s">
        <v>43</v>
      </c>
      <c r="D56" s="120" t="s">
        <v>223</v>
      </c>
      <c r="E56" s="121"/>
      <c r="F56" s="121" t="s">
        <v>273</v>
      </c>
    </row>
    <row r="57" spans="2:6" x14ac:dyDescent="0.35">
      <c r="B57" s="47" t="s">
        <v>135</v>
      </c>
      <c r="C57" s="116" t="s">
        <v>43</v>
      </c>
      <c r="D57" s="120" t="s">
        <v>45</v>
      </c>
      <c r="E57" s="121"/>
      <c r="F57" s="121" t="s">
        <v>274</v>
      </c>
    </row>
    <row r="58" spans="2:6" x14ac:dyDescent="0.35">
      <c r="B58" s="47" t="s">
        <v>136</v>
      </c>
      <c r="C58" s="116" t="s">
        <v>43</v>
      </c>
      <c r="D58" s="120" t="s">
        <v>224</v>
      </c>
      <c r="E58" s="121"/>
      <c r="F58" s="121" t="s">
        <v>225</v>
      </c>
    </row>
    <row r="59" spans="2:6" x14ac:dyDescent="0.35">
      <c r="B59" s="47" t="s">
        <v>137</v>
      </c>
      <c r="C59" s="116" t="s">
        <v>46</v>
      </c>
      <c r="D59" s="120" t="s">
        <v>47</v>
      </c>
      <c r="E59" s="121"/>
      <c r="F59" s="121" t="s">
        <v>213</v>
      </c>
    </row>
    <row r="60" spans="2:6" x14ac:dyDescent="0.35">
      <c r="B60" s="47" t="s">
        <v>138</v>
      </c>
      <c r="C60" s="116" t="s">
        <v>46</v>
      </c>
      <c r="D60" s="120" t="s">
        <v>164</v>
      </c>
      <c r="E60" s="121"/>
      <c r="F60" s="121" t="s">
        <v>214</v>
      </c>
    </row>
    <row r="61" spans="2:6" x14ac:dyDescent="0.35">
      <c r="B61" s="47" t="s">
        <v>139</v>
      </c>
      <c r="C61" s="116" t="s">
        <v>46</v>
      </c>
      <c r="D61" s="120" t="s">
        <v>67</v>
      </c>
      <c r="E61" s="121"/>
      <c r="F61" s="121" t="s">
        <v>212</v>
      </c>
    </row>
    <row r="62" spans="2:6" x14ac:dyDescent="0.35">
      <c r="B62" s="47" t="s">
        <v>140</v>
      </c>
      <c r="C62" s="116" t="s">
        <v>46</v>
      </c>
      <c r="D62" s="120" t="s">
        <v>48</v>
      </c>
      <c r="E62" s="121"/>
      <c r="F62" s="121" t="s">
        <v>275</v>
      </c>
    </row>
    <row r="63" spans="2:6" x14ac:dyDescent="0.35">
      <c r="B63" s="47" t="s">
        <v>141</v>
      </c>
      <c r="C63" s="116" t="s">
        <v>46</v>
      </c>
      <c r="D63" s="120" t="s">
        <v>49</v>
      </c>
      <c r="E63" s="121"/>
      <c r="F63" s="121" t="s">
        <v>215</v>
      </c>
    </row>
    <row r="64" spans="2:6" x14ac:dyDescent="0.35">
      <c r="B64" s="47" t="s">
        <v>142</v>
      </c>
      <c r="C64" s="116" t="s">
        <v>46</v>
      </c>
      <c r="D64" s="120" t="s">
        <v>50</v>
      </c>
      <c r="E64" s="121"/>
      <c r="F64" s="121" t="s">
        <v>216</v>
      </c>
    </row>
    <row r="65" spans="2:6" x14ac:dyDescent="0.35">
      <c r="B65" s="47" t="s">
        <v>143</v>
      </c>
      <c r="C65" s="116" t="s">
        <v>46</v>
      </c>
      <c r="D65" s="120" t="s">
        <v>427</v>
      </c>
      <c r="E65" s="121"/>
      <c r="F65" s="121" t="s">
        <v>426</v>
      </c>
    </row>
    <row r="66" spans="2:6" x14ac:dyDescent="0.35">
      <c r="B66" s="47" t="s">
        <v>144</v>
      </c>
      <c r="C66" s="116" t="s">
        <v>46</v>
      </c>
      <c r="D66" s="120" t="s">
        <v>148</v>
      </c>
      <c r="E66" s="121"/>
      <c r="F66" s="121" t="s">
        <v>217</v>
      </c>
    </row>
    <row r="67" spans="2:6" x14ac:dyDescent="0.35">
      <c r="B67" s="47" t="s">
        <v>155</v>
      </c>
      <c r="C67" s="114" t="s">
        <v>46</v>
      </c>
      <c r="D67" s="118" t="s">
        <v>154</v>
      </c>
      <c r="E67" s="121"/>
      <c r="F67" s="121" t="s">
        <v>218</v>
      </c>
    </row>
    <row r="69" spans="2:6" x14ac:dyDescent="0.35">
      <c r="D69" s="121" t="s">
        <v>253</v>
      </c>
      <c r="E69" s="121"/>
      <c r="F69" s="123" t="s">
        <v>253</v>
      </c>
    </row>
    <row r="70" spans="2:6" x14ac:dyDescent="0.35">
      <c r="D70" s="121" t="s">
        <v>246</v>
      </c>
      <c r="E70" s="124"/>
      <c r="F70" s="123" t="s">
        <v>246</v>
      </c>
    </row>
    <row r="71" spans="2:6" x14ac:dyDescent="0.35">
      <c r="D71" s="121" t="s">
        <v>250</v>
      </c>
      <c r="E71" s="124"/>
      <c r="F71" s="121" t="s">
        <v>257</v>
      </c>
    </row>
    <row r="72" spans="2:6" x14ac:dyDescent="0.35">
      <c r="D72" s="121" t="s">
        <v>250</v>
      </c>
      <c r="E72" s="124"/>
      <c r="F72" s="121" t="s">
        <v>265</v>
      </c>
    </row>
    <row r="73" spans="2:6" x14ac:dyDescent="0.35">
      <c r="D73" s="121" t="s">
        <v>249</v>
      </c>
      <c r="E73" s="124"/>
      <c r="F73" s="121" t="s">
        <v>258</v>
      </c>
    </row>
    <row r="74" spans="2:6" x14ac:dyDescent="0.35">
      <c r="D74" s="121" t="s">
        <v>248</v>
      </c>
      <c r="E74" s="124"/>
      <c r="F74" s="121" t="s">
        <v>259</v>
      </c>
    </row>
    <row r="75" spans="2:6" x14ac:dyDescent="0.35">
      <c r="D75" s="121" t="s">
        <v>247</v>
      </c>
      <c r="E75" s="124"/>
      <c r="F75" s="121" t="s">
        <v>254</v>
      </c>
    </row>
    <row r="76" spans="2:6" x14ac:dyDescent="0.35">
      <c r="D76" s="121" t="s">
        <v>251</v>
      </c>
      <c r="E76" s="124"/>
      <c r="F76" s="121" t="s">
        <v>255</v>
      </c>
    </row>
    <row r="77" spans="2:6" x14ac:dyDescent="0.35">
      <c r="D77" s="121" t="s">
        <v>252</v>
      </c>
      <c r="E77" s="121"/>
      <c r="F77" s="121" t="s">
        <v>260</v>
      </c>
    </row>
    <row r="78" spans="2:6" x14ac:dyDescent="0.35">
      <c r="D78" s="121" t="s">
        <v>154</v>
      </c>
      <c r="E78" s="121"/>
      <c r="F78" s="121" t="s">
        <v>261</v>
      </c>
    </row>
    <row r="79" spans="2:6" x14ac:dyDescent="0.35">
      <c r="D79" s="121" t="s">
        <v>256</v>
      </c>
      <c r="E79" s="121"/>
      <c r="F79" s="121" t="s">
        <v>428</v>
      </c>
    </row>
  </sheetData>
  <mergeCells count="1">
    <mergeCell ref="C1:F1"/>
  </mergeCells>
  <pageMargins left="0.25" right="0.25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19</vt:i4>
      </vt:variant>
    </vt:vector>
  </HeadingPairs>
  <TitlesOfParts>
    <vt:vector size="39" baseType="lpstr">
      <vt:lpstr>Instruções</vt:lpstr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Real</vt:lpstr>
      <vt:lpstr>Previsão</vt:lpstr>
      <vt:lpstr>Real x Previsto</vt:lpstr>
      <vt:lpstr>C.Crédito</vt:lpstr>
      <vt:lpstr>Aplicações</vt:lpstr>
      <vt:lpstr>Gráfico </vt:lpstr>
      <vt:lpstr>Codigo</vt:lpstr>
      <vt:lpstr>A4_</vt:lpstr>
      <vt:lpstr>Abr!Area_de_impressao</vt:lpstr>
      <vt:lpstr>Ago!Area_de_impressao</vt:lpstr>
      <vt:lpstr>Aplicações!Area_de_impressao</vt:lpstr>
      <vt:lpstr>C.Crédito!Area_de_impressao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Real!Area_de_impressao</vt:lpstr>
      <vt:lpstr>'Real x Previsto'!Area_de_impressao</vt:lpstr>
      <vt:lpstr>Set!Area_de_impressao</vt:lpstr>
      <vt:lpstr>Janeiro</vt:lpstr>
      <vt:lpstr>Supermercado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planilhasdogestor.com.br</dc:creator>
  <cp:lastModifiedBy>supervisao</cp:lastModifiedBy>
  <cp:lastPrinted>2012-11-30T20:34:00Z</cp:lastPrinted>
  <dcterms:created xsi:type="dcterms:W3CDTF">2010-11-18T00:21:58Z</dcterms:created>
  <dcterms:modified xsi:type="dcterms:W3CDTF">2026-06-25T11:11:25Z</dcterms:modified>
</cp:coreProperties>
</file>